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8_{7FDD416A-3A8D-47B9-BDBA-CA4B68E7930D}" xr6:coauthVersionLast="47" xr6:coauthVersionMax="47" xr10:uidLastSave="{00000000-0000-0000-0000-000000000000}"/>
  <bookViews>
    <workbookView xWindow="-110" yWindow="-110" windowWidth="19420" windowHeight="10420" xr2:uid="{1A94F227-DC5A-4D38-82E6-7F982A00A343}"/>
  </bookViews>
  <sheets>
    <sheet name="Projects" sheetId="3" r:id="rId1"/>
    <sheet name="EC Summary Table" sheetId="6" r:id="rId2"/>
    <sheet name="CMP315 - NS" sheetId="1" r:id="rId3"/>
    <sheet name="LCP" sheetId="4" r:id="rId4"/>
    <sheet name="CMP375 - GN" sheetId="5" r:id="rId5"/>
    <sheet name="PJ" sheetId="2" r:id="rId6"/>
  </sheets>
  <definedNames>
    <definedName name="ANBC">'CMP315 - NS'!$S$8</definedName>
    <definedName name="WACC">'CMP315 - NS'!$S$6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2" l="1"/>
  <c r="K26" i="2" s="1"/>
  <c r="M26" i="2" s="1"/>
  <c r="I26" i="2"/>
  <c r="N26" i="2" s="1"/>
  <c r="H26" i="2"/>
  <c r="G26" i="2"/>
  <c r="F26" i="2"/>
  <c r="E26" i="2"/>
  <c r="D26" i="2"/>
  <c r="C26" i="2"/>
  <c r="B26" i="2"/>
  <c r="J25" i="2"/>
  <c r="K25" i="2" s="1"/>
  <c r="I25" i="2"/>
  <c r="H25" i="2"/>
  <c r="G25" i="2"/>
  <c r="N25" i="2" s="1"/>
  <c r="F25" i="2"/>
  <c r="E25" i="2"/>
  <c r="D25" i="2"/>
  <c r="C25" i="2"/>
  <c r="B25" i="2"/>
  <c r="K24" i="2"/>
  <c r="J24" i="2"/>
  <c r="I24" i="2"/>
  <c r="H24" i="2"/>
  <c r="M24" i="2" s="1"/>
  <c r="G24" i="2"/>
  <c r="N24" i="2" s="1"/>
  <c r="F24" i="2"/>
  <c r="E24" i="2"/>
  <c r="D24" i="2"/>
  <c r="C24" i="2"/>
  <c r="B24" i="2"/>
  <c r="O23" i="2"/>
  <c r="N23" i="2"/>
  <c r="L23" i="2"/>
  <c r="J23" i="2"/>
  <c r="K23" i="2" s="1"/>
  <c r="I23" i="2"/>
  <c r="H23" i="2"/>
  <c r="G23" i="2"/>
  <c r="F23" i="2"/>
  <c r="E23" i="2"/>
  <c r="D23" i="2"/>
  <c r="C23" i="2"/>
  <c r="B23" i="2"/>
  <c r="N22" i="2"/>
  <c r="L22" i="2"/>
  <c r="O22" i="2" s="1"/>
  <c r="J22" i="2"/>
  <c r="K22" i="2" s="1"/>
  <c r="M22" i="2" s="1"/>
  <c r="I22" i="2"/>
  <c r="H22" i="2"/>
  <c r="G22" i="2"/>
  <c r="F22" i="2"/>
  <c r="E22" i="2"/>
  <c r="D22" i="2"/>
  <c r="C22" i="2"/>
  <c r="B22" i="2"/>
  <c r="J21" i="2"/>
  <c r="I21" i="2"/>
  <c r="H21" i="2"/>
  <c r="G21" i="2"/>
  <c r="F21" i="2"/>
  <c r="E21" i="2"/>
  <c r="D21" i="2"/>
  <c r="C21" i="2"/>
  <c r="B20" i="2"/>
  <c r="N17" i="2"/>
  <c r="M17" i="2"/>
  <c r="L17" i="2"/>
  <c r="O17" i="2" s="1"/>
  <c r="J17" i="2"/>
  <c r="K17" i="2" s="1"/>
  <c r="I17" i="2"/>
  <c r="H17" i="2"/>
  <c r="G17" i="2"/>
  <c r="F17" i="2"/>
  <c r="E17" i="2"/>
  <c r="D17" i="2"/>
  <c r="C17" i="2"/>
  <c r="B17" i="2"/>
  <c r="L16" i="2"/>
  <c r="J16" i="2"/>
  <c r="I16" i="2"/>
  <c r="N16" i="2" s="1"/>
  <c r="H16" i="2"/>
  <c r="G16" i="2"/>
  <c r="F16" i="2"/>
  <c r="E16" i="2"/>
  <c r="D16" i="2"/>
  <c r="C16" i="2"/>
  <c r="B16" i="2"/>
  <c r="L15" i="2"/>
  <c r="K15" i="2"/>
  <c r="J15" i="2"/>
  <c r="I15" i="2"/>
  <c r="H15" i="2"/>
  <c r="G15" i="2"/>
  <c r="N15" i="2" s="1"/>
  <c r="F15" i="2"/>
  <c r="E15" i="2"/>
  <c r="D15" i="2"/>
  <c r="C15" i="2"/>
  <c r="B15" i="2"/>
  <c r="N14" i="2"/>
  <c r="J14" i="2"/>
  <c r="K14" i="2" s="1"/>
  <c r="I14" i="2"/>
  <c r="H14" i="2"/>
  <c r="G14" i="2"/>
  <c r="F14" i="2"/>
  <c r="E14" i="2"/>
  <c r="D14" i="2"/>
  <c r="C14" i="2"/>
  <c r="B14" i="2"/>
  <c r="J13" i="2"/>
  <c r="I13" i="2"/>
  <c r="N13" i="2" s="1"/>
  <c r="H13" i="2"/>
  <c r="G13" i="2"/>
  <c r="F13" i="2"/>
  <c r="E13" i="2"/>
  <c r="D13" i="2"/>
  <c r="C13" i="2"/>
  <c r="B13" i="2"/>
  <c r="J12" i="2"/>
  <c r="I12" i="2"/>
  <c r="H12" i="2"/>
  <c r="G12" i="2"/>
  <c r="F12" i="2"/>
  <c r="E12" i="2"/>
  <c r="D12" i="2"/>
  <c r="C12" i="2"/>
  <c r="B12" i="2"/>
  <c r="J8" i="2"/>
  <c r="I8" i="2"/>
  <c r="H8" i="2"/>
  <c r="G8" i="2"/>
  <c r="M8" i="2" s="1"/>
  <c r="N8" i="2" s="1"/>
  <c r="F8" i="2"/>
  <c r="E8" i="2"/>
  <c r="D8" i="2"/>
  <c r="C8" i="2"/>
  <c r="B8" i="2"/>
  <c r="M7" i="2"/>
  <c r="N7" i="2" s="1"/>
  <c r="J7" i="2"/>
  <c r="I7" i="2"/>
  <c r="H7" i="2"/>
  <c r="O7" i="2" s="1"/>
  <c r="G7" i="2"/>
  <c r="F7" i="2"/>
  <c r="E7" i="2"/>
  <c r="D7" i="2"/>
  <c r="C7" i="2"/>
  <c r="B7" i="2"/>
  <c r="J6" i="2"/>
  <c r="L6" i="2" s="1"/>
  <c r="I6" i="2"/>
  <c r="H6" i="2"/>
  <c r="G6" i="2"/>
  <c r="F6" i="2"/>
  <c r="M6" i="2" s="1"/>
  <c r="N6" i="2" s="1"/>
  <c r="O6" i="2" s="1"/>
  <c r="E6" i="2"/>
  <c r="D6" i="2"/>
  <c r="C6" i="2"/>
  <c r="B6" i="2"/>
  <c r="O5" i="2"/>
  <c r="J5" i="2"/>
  <c r="L5" i="2" s="1"/>
  <c r="I5" i="2"/>
  <c r="H5" i="2"/>
  <c r="G5" i="2"/>
  <c r="F5" i="2"/>
  <c r="M5" i="2" s="1"/>
  <c r="N5" i="2" s="1"/>
  <c r="E5" i="2"/>
  <c r="D5" i="2"/>
  <c r="C5" i="2"/>
  <c r="B5" i="2"/>
  <c r="E40" i="5"/>
  <c r="J28" i="5"/>
  <c r="K28" i="5" s="1"/>
  <c r="L28" i="5" s="1"/>
  <c r="I28" i="5"/>
  <c r="H28" i="5"/>
  <c r="G28" i="5"/>
  <c r="F28" i="5"/>
  <c r="E28" i="5"/>
  <c r="M28" i="5" s="1"/>
  <c r="D28" i="5"/>
  <c r="C28" i="5"/>
  <c r="B28" i="5"/>
  <c r="J27" i="5"/>
  <c r="I27" i="5"/>
  <c r="H27" i="5"/>
  <c r="G27" i="5"/>
  <c r="F27" i="5"/>
  <c r="K27" i="5" s="1"/>
  <c r="L27" i="5" s="1"/>
  <c r="E27" i="5"/>
  <c r="D27" i="5"/>
  <c r="C27" i="5"/>
  <c r="B27" i="5"/>
  <c r="J26" i="5"/>
  <c r="K26" i="5" s="1"/>
  <c r="L26" i="5" s="1"/>
  <c r="I26" i="5"/>
  <c r="H26" i="5"/>
  <c r="G26" i="5"/>
  <c r="F26" i="5"/>
  <c r="E26" i="5"/>
  <c r="M26" i="5" s="1"/>
  <c r="D26" i="5"/>
  <c r="C26" i="5"/>
  <c r="B26" i="5"/>
  <c r="J25" i="5"/>
  <c r="I25" i="5"/>
  <c r="H25" i="5"/>
  <c r="G25" i="5"/>
  <c r="F25" i="5"/>
  <c r="K25" i="5" s="1"/>
  <c r="L25" i="5" s="1"/>
  <c r="E25" i="5"/>
  <c r="M25" i="5" s="1"/>
  <c r="D25" i="5"/>
  <c r="C25" i="5"/>
  <c r="B25" i="5"/>
  <c r="J24" i="5"/>
  <c r="K24" i="5" s="1"/>
  <c r="L24" i="5" s="1"/>
  <c r="I24" i="5"/>
  <c r="H24" i="5"/>
  <c r="G24" i="5"/>
  <c r="F24" i="5"/>
  <c r="E24" i="5"/>
  <c r="M24" i="5" s="1"/>
  <c r="D24" i="5"/>
  <c r="C24" i="5"/>
  <c r="B24" i="5"/>
  <c r="J23" i="5"/>
  <c r="I23" i="5"/>
  <c r="H23" i="5"/>
  <c r="G23" i="5"/>
  <c r="F23" i="5"/>
  <c r="E23" i="5"/>
  <c r="D23" i="5"/>
  <c r="C23" i="5"/>
  <c r="B22" i="5"/>
  <c r="K19" i="5"/>
  <c r="L19" i="5" s="1"/>
  <c r="J19" i="5"/>
  <c r="I19" i="5"/>
  <c r="H19" i="5"/>
  <c r="G19" i="5"/>
  <c r="F19" i="5"/>
  <c r="E19" i="5"/>
  <c r="M19" i="5" s="1"/>
  <c r="D19" i="5"/>
  <c r="C19" i="5"/>
  <c r="B19" i="5"/>
  <c r="K18" i="5"/>
  <c r="L18" i="5" s="1"/>
  <c r="J18" i="5"/>
  <c r="I18" i="5"/>
  <c r="H18" i="5"/>
  <c r="G18" i="5"/>
  <c r="F18" i="5"/>
  <c r="E18" i="5"/>
  <c r="D18" i="5"/>
  <c r="C18" i="5"/>
  <c r="B18" i="5"/>
  <c r="K17" i="5"/>
  <c r="L17" i="5" s="1"/>
  <c r="J17" i="5"/>
  <c r="I17" i="5"/>
  <c r="H17" i="5"/>
  <c r="G17" i="5"/>
  <c r="F17" i="5"/>
  <c r="E17" i="5"/>
  <c r="M17" i="5" s="1"/>
  <c r="D17" i="5"/>
  <c r="C17" i="5"/>
  <c r="B17" i="5"/>
  <c r="K16" i="5"/>
  <c r="L16" i="5" s="1"/>
  <c r="J16" i="5"/>
  <c r="I16" i="5"/>
  <c r="H16" i="5"/>
  <c r="G16" i="5"/>
  <c r="F16" i="5"/>
  <c r="E16" i="5"/>
  <c r="E39" i="5" s="1"/>
  <c r="D16" i="5"/>
  <c r="C16" i="5"/>
  <c r="B16" i="5"/>
  <c r="K15" i="5"/>
  <c r="L15" i="5" s="1"/>
  <c r="J15" i="5"/>
  <c r="I15" i="5"/>
  <c r="H15" i="5"/>
  <c r="G15" i="5"/>
  <c r="F15" i="5"/>
  <c r="E15" i="5"/>
  <c r="E34" i="5" s="1"/>
  <c r="D15" i="5"/>
  <c r="C15" i="5"/>
  <c r="B15" i="5"/>
  <c r="J14" i="5"/>
  <c r="I14" i="5"/>
  <c r="H14" i="5"/>
  <c r="G14" i="5"/>
  <c r="F14" i="5"/>
  <c r="E14" i="5"/>
  <c r="D14" i="5"/>
  <c r="C14" i="5"/>
  <c r="B13" i="5"/>
  <c r="J10" i="5"/>
  <c r="I10" i="5"/>
  <c r="H10" i="5"/>
  <c r="G10" i="5"/>
  <c r="F10" i="5"/>
  <c r="E10" i="5"/>
  <c r="D10" i="5"/>
  <c r="C10" i="5"/>
  <c r="B10" i="5"/>
  <c r="J9" i="5"/>
  <c r="I9" i="5"/>
  <c r="H9" i="5"/>
  <c r="G9" i="5"/>
  <c r="F9" i="5"/>
  <c r="K9" i="5" s="1"/>
  <c r="L9" i="5" s="1"/>
  <c r="E9" i="5"/>
  <c r="M9" i="5" s="1"/>
  <c r="D9" i="5"/>
  <c r="C9" i="5"/>
  <c r="B9" i="5"/>
  <c r="J8" i="5"/>
  <c r="I8" i="5"/>
  <c r="H8" i="5"/>
  <c r="G8" i="5"/>
  <c r="F8" i="5"/>
  <c r="E8" i="5"/>
  <c r="E37" i="5" s="1"/>
  <c r="D8" i="5"/>
  <c r="C8" i="5"/>
  <c r="B8" i="5"/>
  <c r="J7" i="5"/>
  <c r="I7" i="5"/>
  <c r="H7" i="5"/>
  <c r="G7" i="5"/>
  <c r="F7" i="5"/>
  <c r="K7" i="5" s="1"/>
  <c r="E7" i="5"/>
  <c r="E35" i="5" s="1"/>
  <c r="D7" i="5"/>
  <c r="C7" i="5"/>
  <c r="B7" i="5"/>
  <c r="J6" i="5"/>
  <c r="I6" i="5"/>
  <c r="H6" i="5"/>
  <c r="G6" i="5"/>
  <c r="F6" i="5"/>
  <c r="E6" i="5"/>
  <c r="D6" i="5"/>
  <c r="C6" i="5"/>
  <c r="B5" i="5"/>
  <c r="J28" i="4"/>
  <c r="I28" i="4"/>
  <c r="H28" i="4"/>
  <c r="G28" i="4"/>
  <c r="F28" i="4"/>
  <c r="E28" i="4"/>
  <c r="D28" i="4"/>
  <c r="C28" i="4"/>
  <c r="B28" i="4"/>
  <c r="J27" i="4"/>
  <c r="I27" i="4"/>
  <c r="H27" i="4"/>
  <c r="G27" i="4"/>
  <c r="F27" i="4"/>
  <c r="E27" i="4"/>
  <c r="D27" i="4"/>
  <c r="C27" i="4"/>
  <c r="B27" i="4"/>
  <c r="J26" i="4"/>
  <c r="I26" i="4"/>
  <c r="H26" i="4"/>
  <c r="G26" i="4"/>
  <c r="F26" i="4"/>
  <c r="E26" i="4"/>
  <c r="D26" i="4"/>
  <c r="C26" i="4"/>
  <c r="B26" i="4"/>
  <c r="J25" i="4"/>
  <c r="I25" i="4"/>
  <c r="H25" i="4"/>
  <c r="G25" i="4"/>
  <c r="F25" i="4"/>
  <c r="E25" i="4"/>
  <c r="D25" i="4"/>
  <c r="C25" i="4"/>
  <c r="B25" i="4"/>
  <c r="J24" i="4"/>
  <c r="I24" i="4"/>
  <c r="H24" i="4"/>
  <c r="G24" i="4"/>
  <c r="F24" i="4"/>
  <c r="E24" i="4"/>
  <c r="D24" i="4"/>
  <c r="C24" i="4"/>
  <c r="B24" i="4"/>
  <c r="J23" i="4"/>
  <c r="I23" i="4"/>
  <c r="H23" i="4"/>
  <c r="G23" i="4"/>
  <c r="F23" i="4"/>
  <c r="E23" i="4"/>
  <c r="D23" i="4"/>
  <c r="C23" i="4"/>
  <c r="B22" i="4"/>
  <c r="J19" i="4"/>
  <c r="I19" i="4"/>
  <c r="H19" i="4"/>
  <c r="G19" i="4"/>
  <c r="F19" i="4"/>
  <c r="E19" i="4"/>
  <c r="D19" i="4"/>
  <c r="C19" i="4"/>
  <c r="B19" i="4"/>
  <c r="J18" i="4"/>
  <c r="I18" i="4"/>
  <c r="H18" i="4"/>
  <c r="G18" i="4"/>
  <c r="F18" i="4"/>
  <c r="E18" i="4"/>
  <c r="D18" i="4"/>
  <c r="C18" i="4"/>
  <c r="B18" i="4"/>
  <c r="J17" i="4"/>
  <c r="I17" i="4"/>
  <c r="H17" i="4"/>
  <c r="G17" i="4"/>
  <c r="F17" i="4"/>
  <c r="E17" i="4"/>
  <c r="D17" i="4"/>
  <c r="C17" i="4"/>
  <c r="B17" i="4"/>
  <c r="J16" i="4"/>
  <c r="I16" i="4"/>
  <c r="H16" i="4"/>
  <c r="G16" i="4"/>
  <c r="F16" i="4"/>
  <c r="E16" i="4"/>
  <c r="D16" i="4"/>
  <c r="C16" i="4"/>
  <c r="B16" i="4"/>
  <c r="J15" i="4"/>
  <c r="I15" i="4"/>
  <c r="H15" i="4"/>
  <c r="G15" i="4"/>
  <c r="F15" i="4"/>
  <c r="E15" i="4"/>
  <c r="D15" i="4"/>
  <c r="C15" i="4"/>
  <c r="B15" i="4"/>
  <c r="J14" i="4"/>
  <c r="I14" i="4"/>
  <c r="H14" i="4"/>
  <c r="G14" i="4"/>
  <c r="F14" i="4"/>
  <c r="E14" i="4"/>
  <c r="D14" i="4"/>
  <c r="C14" i="4"/>
  <c r="B13" i="4"/>
  <c r="J10" i="4"/>
  <c r="I10" i="4"/>
  <c r="H10" i="4"/>
  <c r="G10" i="4"/>
  <c r="F10" i="4"/>
  <c r="E10" i="4"/>
  <c r="D10" i="4"/>
  <c r="C10" i="4"/>
  <c r="B10" i="4"/>
  <c r="J9" i="4"/>
  <c r="I9" i="4"/>
  <c r="H9" i="4"/>
  <c r="G9" i="4"/>
  <c r="F9" i="4"/>
  <c r="E9" i="4"/>
  <c r="D9" i="4"/>
  <c r="C9" i="4"/>
  <c r="B9" i="4"/>
  <c r="J8" i="4"/>
  <c r="I8" i="4"/>
  <c r="H8" i="4"/>
  <c r="G8" i="4"/>
  <c r="F8" i="4"/>
  <c r="E8" i="4"/>
  <c r="D8" i="4"/>
  <c r="C8" i="4"/>
  <c r="B8" i="4"/>
  <c r="J7" i="4"/>
  <c r="I7" i="4"/>
  <c r="H7" i="4"/>
  <c r="G7" i="4"/>
  <c r="F7" i="4"/>
  <c r="E7" i="4"/>
  <c r="D7" i="4"/>
  <c r="C7" i="4"/>
  <c r="B7" i="4"/>
  <c r="J6" i="4"/>
  <c r="I6" i="4"/>
  <c r="H6" i="4"/>
  <c r="G6" i="4"/>
  <c r="F6" i="4"/>
  <c r="E6" i="4"/>
  <c r="D6" i="4"/>
  <c r="C6" i="4"/>
  <c r="B5" i="4"/>
  <c r="M28" i="1"/>
  <c r="J28" i="1"/>
  <c r="I28" i="1"/>
  <c r="H28" i="1"/>
  <c r="G28" i="1"/>
  <c r="F28" i="1"/>
  <c r="E28" i="1"/>
  <c r="D28" i="1"/>
  <c r="C28" i="1"/>
  <c r="B28" i="1"/>
  <c r="J27" i="1"/>
  <c r="I27" i="1"/>
  <c r="H27" i="1"/>
  <c r="G27" i="1"/>
  <c r="K27" i="1" s="1"/>
  <c r="F27" i="1"/>
  <c r="E27" i="1"/>
  <c r="D27" i="1"/>
  <c r="C27" i="1"/>
  <c r="B27" i="1"/>
  <c r="J26" i="1"/>
  <c r="I26" i="1"/>
  <c r="K26" i="1" s="1"/>
  <c r="H26" i="1"/>
  <c r="G26" i="1"/>
  <c r="F26" i="1"/>
  <c r="E26" i="1"/>
  <c r="D26" i="1"/>
  <c r="C26" i="1"/>
  <c r="B26" i="1"/>
  <c r="J25" i="1"/>
  <c r="K25" i="1" s="1"/>
  <c r="I25" i="1"/>
  <c r="H25" i="1"/>
  <c r="G25" i="1"/>
  <c r="F25" i="1"/>
  <c r="E25" i="1"/>
  <c r="D25" i="1"/>
  <c r="C25" i="1"/>
  <c r="B25" i="1"/>
  <c r="J24" i="1"/>
  <c r="I24" i="1"/>
  <c r="K24" i="1" s="1"/>
  <c r="H24" i="1"/>
  <c r="G24" i="1"/>
  <c r="F24" i="1"/>
  <c r="E24" i="1"/>
  <c r="D24" i="1"/>
  <c r="C24" i="1"/>
  <c r="B24" i="1"/>
  <c r="J23" i="1"/>
  <c r="I23" i="1"/>
  <c r="H23" i="1"/>
  <c r="G23" i="1"/>
  <c r="F23" i="1"/>
  <c r="E23" i="1"/>
  <c r="D23" i="1"/>
  <c r="C23" i="1"/>
  <c r="B22" i="1"/>
  <c r="J19" i="1"/>
  <c r="I19" i="1"/>
  <c r="H19" i="1"/>
  <c r="G19" i="1"/>
  <c r="K19" i="1" s="1"/>
  <c r="F19" i="1"/>
  <c r="E19" i="1"/>
  <c r="D19" i="1"/>
  <c r="C19" i="1"/>
  <c r="B19" i="1"/>
  <c r="J18" i="1"/>
  <c r="I18" i="1"/>
  <c r="K18" i="1" s="1"/>
  <c r="H18" i="1"/>
  <c r="G18" i="1"/>
  <c r="F18" i="1"/>
  <c r="E18" i="1"/>
  <c r="D18" i="1"/>
  <c r="C18" i="1"/>
  <c r="B18" i="1"/>
  <c r="K17" i="1"/>
  <c r="J17" i="1"/>
  <c r="I17" i="1"/>
  <c r="H17" i="1"/>
  <c r="G17" i="1"/>
  <c r="F17" i="1"/>
  <c r="E17" i="1"/>
  <c r="D17" i="1"/>
  <c r="C17" i="1"/>
  <c r="B17" i="1"/>
  <c r="J16" i="1"/>
  <c r="I16" i="1"/>
  <c r="K16" i="1" s="1"/>
  <c r="H16" i="1"/>
  <c r="G16" i="1"/>
  <c r="F16" i="1"/>
  <c r="E16" i="1"/>
  <c r="D16" i="1"/>
  <c r="C16" i="1"/>
  <c r="B16" i="1"/>
  <c r="J15" i="1"/>
  <c r="I15" i="1"/>
  <c r="H15" i="1"/>
  <c r="G15" i="1"/>
  <c r="K15" i="1" s="1"/>
  <c r="F15" i="1"/>
  <c r="E15" i="1"/>
  <c r="D15" i="1"/>
  <c r="C15" i="1"/>
  <c r="B15" i="1"/>
  <c r="J14" i="1"/>
  <c r="I14" i="1"/>
  <c r="H14" i="1"/>
  <c r="G14" i="1"/>
  <c r="F14" i="1"/>
  <c r="E14" i="1"/>
  <c r="D14" i="1"/>
  <c r="C14" i="1"/>
  <c r="B13" i="1"/>
  <c r="N10" i="1"/>
  <c r="O10" i="1" s="1"/>
  <c r="J10" i="1"/>
  <c r="I10" i="1"/>
  <c r="K10" i="1" s="1"/>
  <c r="H10" i="1"/>
  <c r="G10" i="1"/>
  <c r="F10" i="1"/>
  <c r="M10" i="1" s="1"/>
  <c r="E10" i="1"/>
  <c r="D10" i="1"/>
  <c r="C10" i="1"/>
  <c r="B10" i="1"/>
  <c r="J9" i="1"/>
  <c r="K9" i="1" s="1"/>
  <c r="I9" i="1"/>
  <c r="H9" i="1"/>
  <c r="G9" i="1"/>
  <c r="F9" i="1"/>
  <c r="M9" i="1" s="1"/>
  <c r="E9" i="1"/>
  <c r="D9" i="1"/>
  <c r="C9" i="1"/>
  <c r="B9" i="1"/>
  <c r="M8" i="1"/>
  <c r="N8" i="1" s="1"/>
  <c r="J8" i="1"/>
  <c r="I8" i="1"/>
  <c r="K8" i="1" s="1"/>
  <c r="H8" i="1"/>
  <c r="G8" i="1"/>
  <c r="F8" i="1"/>
  <c r="E8" i="1"/>
  <c r="D8" i="1"/>
  <c r="C8" i="1"/>
  <c r="B8" i="1"/>
  <c r="J7" i="1"/>
  <c r="I7" i="1"/>
  <c r="K7" i="1" s="1"/>
  <c r="H7" i="1"/>
  <c r="G7" i="1"/>
  <c r="F7" i="1"/>
  <c r="M7" i="1" s="1"/>
  <c r="N7" i="1" s="1"/>
  <c r="E7" i="1"/>
  <c r="D7" i="1"/>
  <c r="C7" i="1"/>
  <c r="B7" i="1"/>
  <c r="J6" i="1"/>
  <c r="I6" i="1"/>
  <c r="H6" i="1"/>
  <c r="G6" i="1"/>
  <c r="F6" i="1"/>
  <c r="E6" i="1"/>
  <c r="D6" i="1"/>
  <c r="C6" i="1"/>
  <c r="B5" i="1"/>
  <c r="C35" i="6"/>
  <c r="B35" i="6"/>
  <c r="C34" i="6"/>
  <c r="B34" i="6"/>
  <c r="C33" i="6"/>
  <c r="B33" i="6"/>
  <c r="C32" i="6"/>
  <c r="B32" i="6"/>
  <c r="C31" i="6"/>
  <c r="B31" i="6"/>
  <c r="C30" i="6"/>
  <c r="B30" i="6"/>
  <c r="C27" i="6"/>
  <c r="B27" i="6"/>
  <c r="C26" i="6"/>
  <c r="B26" i="6"/>
  <c r="C25" i="6"/>
  <c r="B25" i="6"/>
  <c r="C24" i="6"/>
  <c r="B24" i="6"/>
  <c r="C23" i="6"/>
  <c r="B23" i="6"/>
  <c r="C22" i="6"/>
  <c r="B22" i="6"/>
  <c r="C19" i="6"/>
  <c r="B19" i="6"/>
  <c r="C18" i="6"/>
  <c r="B18" i="6"/>
  <c r="C17" i="6"/>
  <c r="B17" i="6"/>
  <c r="C16" i="6"/>
  <c r="B16" i="6"/>
  <c r="C15" i="6"/>
  <c r="B15" i="6"/>
  <c r="E11" i="6"/>
  <c r="E10" i="6"/>
  <c r="E9" i="6"/>
  <c r="E8" i="6"/>
  <c r="E7" i="6"/>
  <c r="E6" i="6"/>
  <c r="E5" i="6"/>
  <c r="E4" i="6"/>
  <c r="O7" i="1" l="1"/>
  <c r="H31" i="2"/>
  <c r="M15" i="2"/>
  <c r="M10" i="5"/>
  <c r="O8" i="2"/>
  <c r="D33" i="2" s="1"/>
  <c r="G4" i="6" s="1"/>
  <c r="M23" i="2"/>
  <c r="Q23" i="2"/>
  <c r="S23" i="2" s="1"/>
  <c r="V23" i="2" s="1"/>
  <c r="P23" i="2"/>
  <c r="R23" i="2" s="1"/>
  <c r="M18" i="5"/>
  <c r="M27" i="5"/>
  <c r="L25" i="2"/>
  <c r="M25" i="2"/>
  <c r="V15" i="2"/>
  <c r="O8" i="1"/>
  <c r="N9" i="1"/>
  <c r="O9" i="1" s="1"/>
  <c r="K13" i="2"/>
  <c r="M13" i="2" s="1"/>
  <c r="M14" i="2"/>
  <c r="P17" i="2"/>
  <c r="R17" i="2" s="1"/>
  <c r="T17" i="2" s="1"/>
  <c r="O16" i="2"/>
  <c r="O28" i="1"/>
  <c r="F36" i="5"/>
  <c r="G36" i="5" s="1"/>
  <c r="H36" i="5" s="1"/>
  <c r="D36" i="5" s="1"/>
  <c r="F7" i="6" s="1"/>
  <c r="X17" i="2"/>
  <c r="P22" i="2"/>
  <c r="R22" i="2" s="1"/>
  <c r="T22" i="2" s="1"/>
  <c r="X22" i="2" s="1"/>
  <c r="K28" i="1"/>
  <c r="N28" i="1"/>
  <c r="M7" i="5"/>
  <c r="L7" i="5"/>
  <c r="E33" i="5"/>
  <c r="L24" i="2"/>
  <c r="E36" i="5"/>
  <c r="L8" i="2"/>
  <c r="O15" i="2"/>
  <c r="Q15" i="2" s="1"/>
  <c r="S15" i="2" s="1"/>
  <c r="Q22" i="2"/>
  <c r="S22" i="2" s="1"/>
  <c r="V22" i="2" s="1"/>
  <c r="M15" i="5"/>
  <c r="E38" i="5"/>
  <c r="T23" i="2"/>
  <c r="Q17" i="2"/>
  <c r="S17" i="2" s="1"/>
  <c r="V17" i="2" s="1"/>
  <c r="K8" i="5"/>
  <c r="L8" i="5" s="1"/>
  <c r="K10" i="5"/>
  <c r="L10" i="5" s="1"/>
  <c r="L7" i="2"/>
  <c r="K16" i="2"/>
  <c r="M16" i="2" s="1"/>
  <c r="M16" i="5"/>
  <c r="L14" i="2"/>
  <c r="M8" i="5"/>
  <c r="L13" i="2"/>
  <c r="L26" i="2"/>
  <c r="O26" i="2" l="1"/>
  <c r="F40" i="5"/>
  <c r="G40" i="5" s="1"/>
  <c r="H40" i="5" s="1"/>
  <c r="D40" i="5" s="1"/>
  <c r="F11" i="6" s="1"/>
  <c r="F37" i="5"/>
  <c r="G37" i="5" s="1"/>
  <c r="H37" i="5" s="1"/>
  <c r="D37" i="5" s="1"/>
  <c r="F8" i="6" s="1"/>
  <c r="F33" i="5"/>
  <c r="G33" i="5" s="1"/>
  <c r="H33" i="5" s="1"/>
  <c r="D33" i="5" s="1"/>
  <c r="F4" i="6" s="1"/>
  <c r="W23" i="2"/>
  <c r="X23" i="2"/>
  <c r="O13" i="2"/>
  <c r="Q13" i="2" s="1"/>
  <c r="S13" i="2" s="1"/>
  <c r="V13" i="2"/>
  <c r="P13" i="2"/>
  <c r="R13" i="2" s="1"/>
  <c r="T13" i="2" s="1"/>
  <c r="I34" i="2" s="1"/>
  <c r="P16" i="2"/>
  <c r="R16" i="2" s="1"/>
  <c r="T16" i="2" s="1"/>
  <c r="W16" i="2" s="1"/>
  <c r="F34" i="5"/>
  <c r="G34" i="5" s="1"/>
  <c r="H34" i="5" s="1"/>
  <c r="D34" i="5" s="1"/>
  <c r="F5" i="6" s="1"/>
  <c r="F38" i="5"/>
  <c r="G38" i="5" s="1"/>
  <c r="H38" i="5" s="1"/>
  <c r="D38" i="5" s="1"/>
  <c r="F9" i="6" s="1"/>
  <c r="O25" i="2"/>
  <c r="Q25" i="2" s="1"/>
  <c r="S25" i="2" s="1"/>
  <c r="V25" i="2"/>
  <c r="Q16" i="2"/>
  <c r="S16" i="2" s="1"/>
  <c r="V16" i="2" s="1"/>
  <c r="U14" i="2"/>
  <c r="U16" i="2"/>
  <c r="U15" i="2"/>
  <c r="U23" i="2"/>
  <c r="U26" i="2"/>
  <c r="U24" i="2"/>
  <c r="U25" i="2"/>
  <c r="U13" i="2"/>
  <c r="U22" i="2"/>
  <c r="W22" i="2" s="1"/>
  <c r="U17" i="2"/>
  <c r="W17" i="2" s="1"/>
  <c r="O14" i="2"/>
  <c r="Q14" i="2" s="1"/>
  <c r="S14" i="2" s="1"/>
  <c r="V14" i="2" s="1"/>
  <c r="P14" i="2"/>
  <c r="R14" i="2" s="1"/>
  <c r="T14" i="2" s="1"/>
  <c r="F39" i="5"/>
  <c r="G39" i="5" s="1"/>
  <c r="H39" i="5" s="1"/>
  <c r="D39" i="5" s="1"/>
  <c r="F10" i="6" s="1"/>
  <c r="F35" i="5"/>
  <c r="G35" i="5" s="1"/>
  <c r="H35" i="5" s="1"/>
  <c r="D35" i="5" s="1"/>
  <c r="F6" i="6" s="1"/>
  <c r="O24" i="2"/>
  <c r="X15" i="2"/>
  <c r="P15" i="2"/>
  <c r="R15" i="2" s="1"/>
  <c r="T15" i="2" s="1"/>
  <c r="W15" i="2" s="1"/>
  <c r="D36" i="1"/>
  <c r="D7" i="6" s="1"/>
  <c r="D33" i="1"/>
  <c r="D4" i="6" s="1"/>
  <c r="S8" i="1"/>
  <c r="X14" i="2" l="1"/>
  <c r="Q24" i="2"/>
  <c r="S24" i="2" s="1"/>
  <c r="V24" i="2" s="1"/>
  <c r="P24" i="2"/>
  <c r="R24" i="2" s="1"/>
  <c r="T24" i="2" s="1"/>
  <c r="X16" i="2"/>
  <c r="W14" i="2"/>
  <c r="Q26" i="2"/>
  <c r="S26" i="2" s="1"/>
  <c r="V26" i="2" s="1"/>
  <c r="P26" i="2"/>
  <c r="R26" i="2" s="1"/>
  <c r="T26" i="2" s="1"/>
  <c r="L16" i="1"/>
  <c r="M16" i="1" s="1"/>
  <c r="N16" i="1" s="1"/>
  <c r="O16" i="1" s="1"/>
  <c r="L25" i="1"/>
  <c r="M25" i="1" s="1"/>
  <c r="N25" i="1" s="1"/>
  <c r="O25" i="1" s="1"/>
  <c r="L18" i="1"/>
  <c r="M18" i="1" s="1"/>
  <c r="N18" i="1" s="1"/>
  <c r="O18" i="1" s="1"/>
  <c r="L19" i="1"/>
  <c r="M19" i="1" s="1"/>
  <c r="N19" i="1" s="1"/>
  <c r="O19" i="1" s="1"/>
  <c r="L15" i="1"/>
  <c r="M15" i="1" s="1"/>
  <c r="N15" i="1" s="1"/>
  <c r="O15" i="1" s="1"/>
  <c r="L27" i="1"/>
  <c r="M27" i="1" s="1"/>
  <c r="N27" i="1" s="1"/>
  <c r="O27" i="1" s="1"/>
  <c r="L24" i="1"/>
  <c r="M24" i="1" s="1"/>
  <c r="N24" i="1" s="1"/>
  <c r="O24" i="1" s="1"/>
  <c r="L17" i="1"/>
  <c r="M17" i="1" s="1"/>
  <c r="N17" i="1" s="1"/>
  <c r="O17" i="1" s="1"/>
  <c r="L26" i="1"/>
  <c r="M26" i="1" s="1"/>
  <c r="N26" i="1" s="1"/>
  <c r="O26" i="1" s="1"/>
  <c r="P25" i="2"/>
  <c r="R25" i="2" s="1"/>
  <c r="T25" i="2" s="1"/>
  <c r="W13" i="2"/>
  <c r="X13" i="2"/>
  <c r="D35" i="2" l="1"/>
  <c r="G6" i="6" s="1"/>
  <c r="W26" i="2"/>
  <c r="D36" i="2" s="1"/>
  <c r="G7" i="6" s="1"/>
  <c r="X26" i="2"/>
  <c r="H33" i="1"/>
  <c r="D40" i="1"/>
  <c r="D11" i="6" s="1"/>
  <c r="D37" i="1"/>
  <c r="D8" i="6" s="1"/>
  <c r="D34" i="1"/>
  <c r="D5" i="6" s="1"/>
  <c r="D38" i="1"/>
  <c r="D9" i="6" s="1"/>
  <c r="I36" i="2"/>
  <c r="I37" i="2"/>
  <c r="W24" i="2"/>
  <c r="D39" i="2" s="1"/>
  <c r="G10" i="6" s="1"/>
  <c r="X24" i="2"/>
  <c r="X25" i="2"/>
  <c r="W25" i="2"/>
  <c r="D38" i="2" s="1"/>
  <c r="G9" i="6" s="1"/>
  <c r="D34" i="2"/>
  <c r="G5" i="6" s="1"/>
  <c r="I35" i="2"/>
  <c r="D37" i="2"/>
  <c r="G8" i="6" s="1"/>
  <c r="D35" i="1"/>
  <c r="D6" i="6" s="1"/>
  <c r="D39" i="1"/>
  <c r="D10" i="6" s="1"/>
  <c r="D40" i="2" l="1"/>
  <c r="G11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tc={B9C63111-F246-4070-875C-FF381FA88026}</author>
    <author>tc={29E57B73-B8D3-4FCC-8C39-AB31BBE7AD0E}</author>
    <author>tc={D9EEF517-64A7-4704-ACBA-3E036B3EC0D7}</author>
    <author>tc={6FFFD455-E29C-44A8-A9D1-878E84BA0BA2}</author>
    <author>tc={E1A438D5-99FC-4A01-8232-076A59B43364}</author>
    <author>tc={2E80EDAB-6562-48D1-A392-1C636B7CD215}</author>
    <author>tc={375E3094-28E1-4C3D-B894-E29C628B1B50}</author>
    <author>tc={ABD7ABE7-FF0A-4E7F-9D18-9FAB0B3BB7A6}</author>
    <author>tc={5CC7BCB0-731B-4C81-9DE9-1ABFB79FB148}</author>
    <author>tc={E8D5F8FB-DFA7-4632-A8DD-D168A5C21FB2}</author>
    <author>tc={59FD090C-01FE-4E21-A232-4FCB3880EAF0}</author>
  </authors>
  <commentList>
    <comment ref="G3" authorId="0" shapeId="0" xr:uid="{B9C63111-F246-4070-875C-FF381FA88026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this value is always 0 (capital expenditure is at time of build)</t>
      </text>
    </comment>
    <comment ref="I3" authorId="1" shapeId="0" xr:uid="{29E57B73-B8D3-4FCC-8C39-AB31BBE7AD0E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there was no circuit before the investment, therefore the inital capacity is always 0</t>
      </text>
    </comment>
    <comment ref="B12" authorId="2" shapeId="0" xr:uid="{D9EEF517-64A7-4704-ACBA-3E036B3EC0D7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B13" authorId="3" shapeId="0" xr:uid="{6FFFD455-E29C-44A8-A9D1-878E84BA0BA2}">
      <text>
        <t>[Threaded comment]
Your version of Excel allows you to read this threaded comment; however, any edits to it will get removed if the file is opened in a newer version of Excel. Learn more: https://go.microsoft.com/fwlink/?linkid=870924
Comment:
    40 years after the asset was built, additional work is undetaken to extend the life of the asset from 50 to 70 years</t>
      </text>
    </comment>
    <comment ref="B14" authorId="4" shapeId="0" xr:uid="{E1A438D5-99FC-4A01-8232-076A59B43364}">
      <text>
        <t>[Threaded comment]
Your version of Excel allows you to read this threaded comment; however, any edits to it will get removed if the file is opened in a newer version of Excel. Learn more: https://go.microsoft.com/fwlink/?linkid=870924
Comment:
    In this example, the circuit is reconductored 45 years into its life. The life of the asset is extended to 70 years and the circuit capaicity is increased</t>
      </text>
    </comment>
    <comment ref="B15" authorId="5" shapeId="0" xr:uid="{2E80EDAB-6562-48D1-A392-1C636B7CD215}">
      <text>
        <t>[Threaded comment]
Your version of Excel allows you to read this threaded comment; however, any edits to it will get removed if the file is opened in a newer version of Excel. Learn more: https://go.microsoft.com/fwlink/?linkid=870924
Comment:
    In this example, the circuit is reconductored 40 years into its life. The life of the asset is extended to 70 years and the circuit capaicity is increased</t>
      </text>
    </comment>
    <comment ref="B16" authorId="6" shapeId="0" xr:uid="{375E3094-28E1-4C3D-B894-E29C628B1B50}">
      <text>
        <t>[Threaded comment]
Your version of Excel allows you to read this threaded comment; however, any edits to it will get removed if the file is opened in a newer version of Excel. Learn more: https://go.microsoft.com/fwlink/?linkid=870924
Comment:
    Works undertaken to re-route circuit; does not affect life or capacity but does change circuit length</t>
      </text>
    </comment>
    <comment ref="B21" authorId="7" shapeId="0" xr:uid="{ABD7ABE7-FF0A-4E7F-9D18-9FAB0B3BB7A6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substtaion works (e.g. forced cooling), 30 years after the asset was built. It increases the circuit capacity, but does not change the asset life</t>
      </text>
    </comment>
    <comment ref="B22" authorId="8" shapeId="0" xr:uid="{5CC7BCB0-731B-4C81-9DE9-1ABFB79FB148}">
      <text>
        <t>[Threaded comment]
Your version of Excel allows you to read this threaded comment; however, any edits to it will get removed if the file is opened in a newer version of Excel. Learn more: https://go.microsoft.com/fwlink/?linkid=870924
Comment:
    40 years after the asset was built, additional work is undetaken to extend the life of the asset from 50 to 70 years (e.g. major refurb)</t>
      </text>
    </comment>
    <comment ref="B23" authorId="9" shapeId="0" xr:uid="{E8D5F8FB-DFA7-4632-A8DD-D168A5C21FB2}">
      <text>
        <t>[Threaded comment]
Your version of Excel allows you to read this threaded comment; however, any edits to it will get removed if the file is opened in a newer version of Excel. Learn more: https://go.microsoft.com/fwlink/?linkid=870924
Comment:
    In this example, the assety is reinforced 45 years into its life. The life of the asset is extended to 70 years and the circuit capaicity is increased</t>
      </text>
    </comment>
    <comment ref="B24" authorId="10" shapeId="0" xr:uid="{59FD090C-01FE-4E21-A232-4FCB3880EAF0}">
      <text>
        <t>[Threaded comment]
Your version of Excel allows you to read this threaded comment; however, any edits to it will get removed if the file is opened in a newer version of Excel. Learn more: https://go.microsoft.com/fwlink/?linkid=870924
Comment:
    In this example, the asset is 40 years into its life. The life of the asset is extended to 70 years and the  capaicity is increased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tc={26B1C7F8-5818-4AD7-BDCB-61E4C876C677}</author>
    <author>tc={EA2BF473-6CB9-4B0B-AAD6-1DE1ACAF6843}</author>
  </authors>
  <commentList>
    <comment ref="L6" authorId="0" shapeId="0" xr:uid="{26B1C7F8-5818-4AD7-BDCB-61E4C876C677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new build circuit, therefore no cost of any previous investment</t>
      </text>
    </comment>
    <comment ref="L23" authorId="1" shapeId="0" xr:uid="{EA2BF473-6CB9-4B0B-AAD6-1DE1ACAF6843}">
      <text>
        <t>[Threaded comment]
Your version of Excel allows you to read this threaded comment; however, any edits to it will get removed if the file is opened in a newer version of Excel. Learn more: https://go.microsoft.com/fwlink/?linkid=870924
Comment:
    Sub 5 is a new build, therefore no cost of any previous investment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tc={C085A2C9-80D9-46FF-9363-5D16C3E7B6D8}</author>
    <author>tc={E603EF48-8ED0-4F58-A48E-678B73C8CA3A}</author>
    <author>tc={22B53E3E-A62A-4901-9BC8-47EBB28E8854}</author>
    <author>tc={452080F0-1A25-41ED-ACCF-0EABB6E9F0F8}</author>
    <author>tc={0E2FF86C-7733-4536-AA1F-388D3FC48D5E}</author>
    <author>tc={89D98C05-8438-485B-AF82-36368A2852E0}</author>
    <author>tc={F51E6972-680C-4B4C-BC95-18AE8C50669F}</author>
    <author>tc={09913F41-1C60-4C08-9B8D-FF3323064FB8}</author>
  </authors>
  <commentList>
    <comment ref="G4" authorId="0" shapeId="0" xr:uid="{C085A2C9-80D9-46FF-9363-5D16C3E7B6D8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this value is always 0 (capital expenditure is at time of build)</t>
      </text>
    </comment>
    <comment ref="I4" authorId="1" shapeId="0" xr:uid="{E603EF48-8ED0-4F58-A48E-678B73C8CA3A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there was no circuit before the investment, therefore the inital capacity is always 0</t>
      </text>
    </comment>
    <comment ref="L4" authorId="2" shapeId="0" xr:uid="{22B53E3E-A62A-4901-9BC8-47EBB28E8854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new build circuit, therefore no cost of any previous investment</t>
      </text>
    </comment>
    <comment ref="B13" authorId="3" shapeId="0" xr:uid="{452080F0-1A25-41ED-ACCF-0EABB6E9F0F8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B14" authorId="4" shapeId="0" xr:uid="{0E2FF86C-7733-4536-AA1F-388D3FC48D5E}">
      <text>
        <t>[Threaded comment]
Your version of Excel allows you to read this threaded comment; however, any edits to it will get removed if the file is opened in a newer version of Excel. Learn more: https://go.microsoft.com/fwlink/?linkid=870924
Comment:
    40 years after the asset was built, additional work is undetaken to extend the life of the asset from 50 to 70 years</t>
      </text>
    </comment>
    <comment ref="B15" authorId="5" shapeId="0" xr:uid="{89D98C05-8438-485B-AF82-36368A2852E0}">
      <text>
        <t>[Threaded comment]
Your version of Excel allows you to read this threaded comment; however, any edits to it will get removed if the file is opened in a newer version of Excel. Learn more: https://go.microsoft.com/fwlink/?linkid=870924
Comment:
    In this example, the circuit is reconductored 45 years into its life. The life of the asset is extended to 70 years and the circuit capaicity is increased</t>
      </text>
    </comment>
    <comment ref="G34" authorId="6" shapeId="0" xr:uid="{F51E6972-680C-4B4C-BC95-18AE8C50669F}">
      <text>
        <t>[Threaded comment]
Your version of Excel allows you to read this threaded comment; however, any edits to it will get removed if the file is opened in a newer version of Excel. Learn more: https://go.microsoft.com/fwlink/?linkid=870924
Comment:
    Not really sure which is correct?  Surely MWkm could be correct as this is what the transport model uses?</t>
      </text>
    </comment>
    <comment ref="G37" authorId="7" shapeId="0" xr:uid="{09913F41-1C60-4C08-9B8D-FF3323064FB8}">
      <text>
        <t>[Threaded comment]
Your version of Excel allows you to read this threaded comment; however, any edits to it will get removed if the file is opened in a newer version of Excel. Learn more: https://go.microsoft.com/fwlink/?linkid=870924
Comment:
    Could do this on full marginal basis too?</t>
      </text>
    </comment>
  </commentList>
</comments>
</file>

<file path=xl/sharedStrings.xml><?xml version="1.0" encoding="utf-8"?>
<sst xmlns="http://schemas.openxmlformats.org/spreadsheetml/2006/main" count="269" uniqueCount="111">
  <si>
    <t>NB1</t>
  </si>
  <si>
    <t>Length (km)</t>
  </si>
  <si>
    <t>Capital Cost (£)</t>
  </si>
  <si>
    <t>Life( years)</t>
  </si>
  <si>
    <t>NB2</t>
  </si>
  <si>
    <t>NB3</t>
  </si>
  <si>
    <t>NB4</t>
  </si>
  <si>
    <t>Enhancement of existing</t>
  </si>
  <si>
    <t>Constants</t>
  </si>
  <si>
    <t>New life (years)</t>
  </si>
  <si>
    <t>New Capacity (MVA)</t>
  </si>
  <si>
    <t>Time from initial build (years)</t>
  </si>
  <si>
    <t>WACC</t>
  </si>
  <si>
    <t>Initial Capacity (MVA)</t>
  </si>
  <si>
    <t>Implied cost of previous Build (£)</t>
  </si>
  <si>
    <t>NPV of total Build (£)</t>
  </si>
  <si>
    <t>Cost per MW.km (£/km)</t>
  </si>
  <si>
    <t>Annualised Cost per MWkm (£/MW.km)</t>
  </si>
  <si>
    <t>Average New Build Cost (£/MWkm)</t>
  </si>
  <si>
    <t>Expansion Constant</t>
  </si>
  <si>
    <t>Time weighted avaeage capacity (MVA)</t>
  </si>
  <si>
    <t>Increase in capacity</t>
  </si>
  <si>
    <t>Increase in life</t>
  </si>
  <si>
    <t>B - Remaining Cap MWyears</t>
  </si>
  <si>
    <t>A - Cap Increase MWyears</t>
  </si>
  <si>
    <t>C - Life Extension MWyears</t>
  </si>
  <si>
    <t>MWYears</t>
  </si>
  <si>
    <t>Initial £/MWkm</t>
  </si>
  <si>
    <t>A - Apportioned Cost</t>
  </si>
  <si>
    <t>C - Apportioned Cost</t>
  </si>
  <si>
    <t>A - Cost per MW.km (£/km)</t>
  </si>
  <si>
    <t>C - Cost per MW.km (£/km)</t>
  </si>
  <si>
    <t>B - Annualised Cost per MWkm (£/MW.km)</t>
  </si>
  <si>
    <t>A - Annualised Cost per MWkm (£/MW.km)</t>
  </si>
  <si>
    <t>C - Annualised Cost per MWkm (£/MW.km)</t>
  </si>
  <si>
    <t>Total - Annualised Cost per MWkm (£/MW.km)</t>
  </si>
  <si>
    <t>MWYear weight</t>
  </si>
  <si>
    <t>km weight</t>
  </si>
  <si>
    <t>Example showing A, B and C for above</t>
  </si>
  <si>
    <t>Worked example using  Paul Jones method</t>
  </si>
  <si>
    <t>Worked example using Nick Sillito method</t>
  </si>
  <si>
    <t>km weight full marginal</t>
  </si>
  <si>
    <t>Maginal - Annualised Cost per MWkm (£/MW.km)</t>
  </si>
  <si>
    <t>MWkm weight</t>
  </si>
  <si>
    <t>Notes</t>
  </si>
  <si>
    <t>Initial Length (km)</t>
  </si>
  <si>
    <t>New Length (km)</t>
  </si>
  <si>
    <t>New Build Circuits</t>
  </si>
  <si>
    <t>Enhancement of existing circuits</t>
  </si>
  <si>
    <t>Recon 2 - Life Extension</t>
  </si>
  <si>
    <t>Recon 1 - Increase Cap</t>
  </si>
  <si>
    <t>Primary Driver</t>
  </si>
  <si>
    <t>Capacity (load)</t>
  </si>
  <si>
    <t>Life (non-load)</t>
  </si>
  <si>
    <t>Recon 5 - route change</t>
  </si>
  <si>
    <t>Non-circuit</t>
  </si>
  <si>
    <t>Sub 1 - Increase Cap</t>
  </si>
  <si>
    <t>Sub 2 - Life Extension</t>
  </si>
  <si>
    <t>Rerouting (load)</t>
  </si>
  <si>
    <t>Sub 5 - New Build</t>
  </si>
  <si>
    <t>Recon 3 - Cap &amp; Life Increase</t>
  </si>
  <si>
    <t>Recon 4 - Cap &amp; Life Increase</t>
  </si>
  <si>
    <t>Sub 3 - Cap &amp; Life Increase</t>
  </si>
  <si>
    <t>Sub 4 - Cap &amp; Life Increase</t>
  </si>
  <si>
    <t>Assumptions</t>
  </si>
  <si>
    <t>Only showing 1 voltage tier (i.e. 400kV) in the above list, however same principle and calculations will apply to &lt;400kV assets when determining the Expansion Factors</t>
  </si>
  <si>
    <t>Increasing voltage of assets not included in above, assumption that current approach will apply and be reviewed by Workgroup</t>
  </si>
  <si>
    <t>CMP315 - NS</t>
  </si>
  <si>
    <t>LCP</t>
  </si>
  <si>
    <t>CMP375 - GN</t>
  </si>
  <si>
    <t>PJ</t>
  </si>
  <si>
    <t>Works Included</t>
  </si>
  <si>
    <t>None</t>
  </si>
  <si>
    <t>New Circuits only</t>
  </si>
  <si>
    <t>Pre CMP353 methodlogy is reinstated and only new-circuits are in the calculation</t>
  </si>
  <si>
    <t>New circuits &amp; circuit reinforcement</t>
  </si>
  <si>
    <t>New circuits &amp; circuit life extensions</t>
  </si>
  <si>
    <t>New circuits &amp; New non-circuit build</t>
  </si>
  <si>
    <t>All circuit works (New circuits, reinforcement &amp; life extension)</t>
  </si>
  <si>
    <t>None (baseline)</t>
  </si>
  <si>
    <t>All load related projects</t>
  </si>
  <si>
    <t>All non-load related projects</t>
  </si>
  <si>
    <t>All works</t>
  </si>
  <si>
    <t>Assume 'load' related works as reinforcement - circuits only</t>
  </si>
  <si>
    <t>Assume 'non-load' related works as life extension - circuits only</t>
  </si>
  <si>
    <t>NB 1-4 only</t>
  </si>
  <si>
    <t>Assumed Recon 5 is treated no differently to other load (e.g. capacity omcrease) works</t>
  </si>
  <si>
    <t>NB1 1-4, Recon 1, 4 and 5</t>
  </si>
  <si>
    <t>NB1 1-4, Recon 2 and 3</t>
  </si>
  <si>
    <t>NB 1-4 and Sub 5</t>
  </si>
  <si>
    <t>NB 1 -4 and Recon 1 - 5</t>
  </si>
  <si>
    <t>Projects included in calculation</t>
  </si>
  <si>
    <t>NB 1-4, Recon 1, 4, 5 and Sub 1, 4 &amp; 5</t>
  </si>
  <si>
    <t>NB 1-4, Recon 2,3 and Sub 2,3</t>
  </si>
  <si>
    <t>All - NB1-4, recon 1-5 and sub 1-5</t>
  </si>
  <si>
    <t>New &amp; 'non-load' works (circuit and non-circuit)</t>
  </si>
  <si>
    <t>New &amp; 'load' works (circuit and non-circuit)</t>
  </si>
  <si>
    <t>£15.462801/MWkm</t>
  </si>
  <si>
    <t>CMP353 solution endures and CMP315/375 are rejected. April 2022 value shown and included for completeness (as not directly comparable with the below figures)</t>
  </si>
  <si>
    <t>£/MW/km</t>
  </si>
  <si>
    <t>Annuity Factor</t>
  </si>
  <si>
    <t>Overhead Factor</t>
  </si>
  <si>
    <t>Annuitised £/MW/km</t>
  </si>
  <si>
    <t>Total Length</t>
  </si>
  <si>
    <t>N/A</t>
  </si>
  <si>
    <t>Length Weight</t>
  </si>
  <si>
    <t>Total Length Weight</t>
  </si>
  <si>
    <t>Length based EC</t>
  </si>
  <si>
    <t>Length Based EC</t>
  </si>
  <si>
    <t>Option 1 - current method (length based weighting)</t>
  </si>
  <si>
    <t>Length Weighted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</si>
</sst>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£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3" fontId="0" fillId="0" borderId="0" xfId="0" applyNumberFormat="1"/>
    <xf numFmtId="2" fontId="0" fillId="0" borderId="0" xfId="0" applyNumberFormat="1"/>
    <xf numFmtId="3" fontId="0" fillId="0" borderId="0" xfId="0" applyNumberFormat="1" applyFill="1"/>
    <xf numFmtId="4" fontId="0" fillId="0" borderId="0" xfId="0" applyNumberFormat="1"/>
    <xf numFmtId="2" fontId="0" fillId="3" borderId="0" xfId="0" applyNumberFormat="1" applyFill="1"/>
    <xf numFmtId="164" fontId="0" fillId="0" borderId="0" xfId="1" applyNumberFormat="1" applyFont="1"/>
    <xf numFmtId="164" fontId="0" fillId="0" borderId="0" xfId="0" applyNumberFormat="1"/>
    <xf numFmtId="43" fontId="0" fillId="0" borderId="0" xfId="0" applyNumberFormat="1"/>
    <xf numFmtId="2" fontId="0" fillId="0" borderId="0" xfId="0" applyNumberFormat="1" applyFill="1"/>
    <xf numFmtId="0" fontId="0" fillId="0" borderId="0" xfId="0" applyAlignment="1">
      <alignment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3" fontId="0" fillId="2" borderId="0" xfId="0" applyNumberFormat="1" applyFill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2" borderId="0" xfId="0" applyNumberFormat="1" applyFill="1" applyAlignment="1">
      <alignment horizontal="center" vertical="center"/>
    </xf>
    <xf numFmtId="165" fontId="0" fillId="0" borderId="0" xfId="0" applyNumberFormat="1"/>
    <xf numFmtId="0" fontId="5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43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3" fontId="0" fillId="5" borderId="0" xfId="0" applyNumberFormat="1" applyFill="1" applyAlignment="1">
      <alignment horizontal="center" vertical="center"/>
    </xf>
    <xf numFmtId="2" fontId="0" fillId="5" borderId="0" xfId="0" applyNumberForma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2470150</xdr:colOff>
      <xdr:row>1</xdr:row>
      <xdr:rowOff>171450</xdr:rowOff>
    </xdr:from>
    <xdr:to>
      <xdr:col>2</xdr:col>
      <xdr:colOff>146050</xdr:colOff>
      <xdr:row>14</xdr:row>
      <xdr:rowOff>6350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DF57D723-FD83-4E53-97B3-B478C0919290}"/>
            </a:ext>
          </a:extLst>
        </xdr:cNvPr>
        <xdr:cNvCxnSpPr/>
      </xdr:nvCxnSpPr>
      <xdr:spPr>
        <a:xfrm flipH="1">
          <a:off x="3079750" y="355600"/>
          <a:ext cx="1352550" cy="22288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25400</xdr:colOff>
      <xdr:row>31</xdr:row>
      <xdr:rowOff>133350</xdr:rowOff>
    </xdr:from>
    <xdr:ext cx="5810778" cy="3546645"/>
    <xdr:pic>
      <xdr:nvPicPr>
        <xdr:cNvPr id="4" name="Picture 3">
          <a:extLst>
            <a:ext uri="{FF2B5EF4-FFF2-40B4-BE49-F238E27FC236}">
              <a16:creationId xmlns:a16="http://schemas.microsoft.com/office/drawing/2014/main" id="{F6F3D7A7-FD79-4901-B5C4-683D7CC6B3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93800" y="6578600"/>
          <a:ext cx="5810778" cy="3546645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ones, Paul" id="{F3BCE525-4E9B-4C77-B2D7-F4D9CAAB3FE2}" userId="S::P2161@uniper.energy::6b1c01df-18b0-43bf-88dc-de257a1616ff" providerId="AD"/>
  <person displayName="Nick Sillito" id="{2C075CE6-65CE-4403-B840-1065F1E9C75F}" userId="S::nsillito@peakgen.com::728306bb-6649-42fd-8271-fea0105d643e" providerId="AD"/>
  <person displayName="Neale (ESO), Grahame" id="{466CF223-AAB5-461B-AF97-5254680776F7}" userId="S::grahame.neale@uk.nationalgrid.com::7412f750-aca9-44f7-8a7c-a8847f7980da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3" dT="2022-06-10T09:30:20.32" personId="{2C075CE6-65CE-4403-B840-1065F1E9C75F}" id="{B9C63111-F246-4070-875C-FF381FA88026}">
    <text>For a new build circuit, this value is always 0 (capital expenditure is at time of build)</text>
  </threadedComment>
  <threadedComment ref="I3" dT="2022-06-10T09:31:24.46" personId="{2C075CE6-65CE-4403-B840-1065F1E9C75F}" id="{29E57B73-B8D3-4FCC-8C39-AB31BBE7AD0E}">
    <text>For a new build circuit, there was no circuit before the investment, therefore the inital capacity is always 0</text>
  </threadedComment>
  <threadedComment ref="B12" dT="2022-06-10T09:43:14.23" personId="{2C075CE6-65CE-4403-B840-1065F1E9C75F}" id="{D9EEF517-64A7-4704-ACBA-3E036B3EC0D7}">
    <text>This is a simple reconductoring, 30 years after the asset was buit. It increases the circuit capacity, but does not change the asset life</text>
  </threadedComment>
  <threadedComment ref="B13" dT="2022-06-10T09:44:28.73" personId="{2C075CE6-65CE-4403-B840-1065F1E9C75F}" id="{6FFFD455-E29C-44A8-A9D1-878E84BA0BA2}">
    <text>40 years after the asset was built, additional work is undetaken to extend the life of the asset from 50 to 70 years</text>
  </threadedComment>
  <threadedComment ref="B14" dT="2022-06-10T09:45:41.52" personId="{2C075CE6-65CE-4403-B840-1065F1E9C75F}" id="{E1A438D5-99FC-4A01-8232-076A59B43364}">
    <text>In this example, the circuit is reconductored 45 years into its life. The life of the asset is extended to 70 years and the circuit capaicity is increased</text>
  </threadedComment>
  <threadedComment ref="B15" dT="2022-06-15T11:17:48.05" personId="{466CF223-AAB5-461B-AF97-5254680776F7}" id="{2E80EDAB-6562-48D1-A392-1C636B7CD215}">
    <text>In this example, the circuit is reconductored 40 years into its life. The life of the asset is extended to 70 years and the circuit capaicity is increased</text>
  </threadedComment>
  <threadedComment ref="B16" dT="2022-06-15T11:02:41.97" personId="{466CF223-AAB5-461B-AF97-5254680776F7}" id="{375E3094-28E1-4C3D-B894-E29C628B1B50}">
    <text>Works undertaken to re-route circuit; does not affect life or capacity but does change circuit length</text>
  </threadedComment>
  <threadedComment ref="B21" dT="2022-06-15T13:14:42.09" personId="{466CF223-AAB5-461B-AF97-5254680776F7}" id="{ABD7ABE7-FF0A-4E7F-9D18-9FAB0B3BB7A6}">
    <text>This is a simple substtaion works (e.g. forced cooling), 30 years after the asset was built. It increases the circuit capacity, but does not change the asset life</text>
  </threadedComment>
  <threadedComment ref="B22" dT="2022-06-15T13:15:21.86" personId="{466CF223-AAB5-461B-AF97-5254680776F7}" id="{5CC7BCB0-731B-4C81-9DE9-1ABFB79FB148}">
    <text>40 years after the asset was built, additional work is undetaken to extend the life of the asset from 50 to 70 years (e.g. major refurb)</text>
  </threadedComment>
  <threadedComment ref="B23" dT="2022-06-15T13:17:02.52" personId="{466CF223-AAB5-461B-AF97-5254680776F7}" id="{E8D5F8FB-DFA7-4632-A8DD-D168A5C21FB2}">
    <text>In this example, the assety is reinforced 45 years into its life. The life of the asset is extended to 70 years and the circuit capaicity is increased</text>
  </threadedComment>
  <threadedComment ref="B24" dT="2022-06-15T11:17:48.05" personId="{466CF223-AAB5-461B-AF97-5254680776F7}" id="{59FD090C-01FE-4E21-A232-4FCB3880EAF0}">
    <text>In this example, the asset is 40 years into its life. The life of the asset is extended to 70 years and the  capaicity is increased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L6" dT="2022-06-10T09:32:03.22" personId="{2C075CE6-65CE-4403-B840-1065F1E9C75F}" id="{26B1C7F8-5818-4AD7-BDCB-61E4C876C677}">
    <text>This is a new build circuit, therefore no cost of any previous investment</text>
  </threadedComment>
  <threadedComment ref="L23" dT="2022-06-15T13:59:05.15" personId="{466CF223-AAB5-461B-AF97-5254680776F7}" id="{EA2BF473-6CB9-4B0B-AAD6-1DE1ACAF6843}">
    <text>Sub 5 is a new build, therefore no cost of any previous investment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G4" dT="2022-06-10T09:30:20.32" personId="{2C075CE6-65CE-4403-B840-1065F1E9C75F}" id="{C085A2C9-80D9-46FF-9363-5D16C3E7B6D8}">
    <text>For a new build circuit, this value is always 0 (capital expenditure is at time of build)</text>
  </threadedComment>
  <threadedComment ref="I4" dT="2022-06-10T09:31:24.46" personId="{2C075CE6-65CE-4403-B840-1065F1E9C75F}" id="{E603EF48-8ED0-4F58-A48E-678B73C8CA3A}">
    <text>For a new build circuit, there was no circuit before the investment, therefore the inital capacity is always 0</text>
  </threadedComment>
  <threadedComment ref="L4" dT="2022-06-10T09:32:03.22" personId="{2C075CE6-65CE-4403-B840-1065F1E9C75F}" id="{22B53E3E-A62A-4901-9BC8-47EBB28E8854}">
    <text>This is a new build circuit, therefore no cost of any previous investment</text>
  </threadedComment>
  <threadedComment ref="B13" dT="2022-06-10T09:43:14.23" personId="{2C075CE6-65CE-4403-B840-1065F1E9C75F}" id="{452080F0-1A25-41ED-ACCF-0EABB6E9F0F8}">
    <text>This is a simple reconductoring, 30 years after the asset was buit. It increases the circuit capacity, but does not change the asset life</text>
  </threadedComment>
  <threadedComment ref="B14" dT="2022-06-10T09:44:28.73" personId="{2C075CE6-65CE-4403-B840-1065F1E9C75F}" id="{0E2FF86C-7733-4536-AA1F-388D3FC48D5E}">
    <text>40 years after the asset was built, additional work is undetaken to extend the life of the asset from 50 to 70 years</text>
  </threadedComment>
  <threadedComment ref="B15" dT="2022-06-10T09:45:41.52" personId="{2C075CE6-65CE-4403-B840-1065F1E9C75F}" id="{89D98C05-8438-485B-AF82-36368A2852E0}">
    <text>In this example, the circuit is reconductored 45 years into its life. The life of the asset is extended to 70 years and the circuit capaicity is increased</text>
  </threadedComment>
  <threadedComment ref="G34" dT="2022-06-14T14:41:53.43" personId="{F3BCE525-4E9B-4C77-B2D7-F4D9CAAB3FE2}" id="{F51E6972-680C-4B4C-BC95-18AE8C50669F}">
    <text>Not really sure which is correct?  Surely MWkm could be correct as this is what the transport model uses?</text>
  </threadedComment>
  <threadedComment ref="G37" dT="2022-06-14T14:44:06.51" personId="{F3BCE525-4E9B-4C77-B2D7-F4D9CAAB3FE2}" id="{09913F41-1C60-4C08-9B8D-FF3323064FB8}">
    <text>Could do this on full marginal basis too?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2.xml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547C8-B642-43CF-BC53-0FA7DE150B10}">
  <dimension ref="A2:J34"/>
  <sheetViews>
    <sheetView tabSelected="1" workbookViewId="0">
      <selection activeCell="E16" sqref="E16"/>
    </sheetView>
  </sheetViews>
  <sheetFormatPr defaultRowHeight="14.5" x14ac:dyDescent="0.35"/>
  <cols>
    <col min="2" max="2" width="28.08984375" bestFit="1" customWidth="1"/>
    <col min="3" max="4" width="21.6328125" customWidth="1"/>
    <col min="5" max="5" width="14.90625" bestFit="1" customWidth="1"/>
    <col min="6" max="6" width="14.36328125" style="20" bestFit="1" customWidth="1"/>
    <col min="7" max="7" width="25" customWidth="1"/>
    <col min="8" max="8" width="13.81640625" bestFit="1" customWidth="1"/>
    <col min="9" max="9" width="18.81640625" bestFit="1" customWidth="1"/>
    <col min="10" max="10" width="17.90625" bestFit="1" customWidth="1"/>
  </cols>
  <sheetData>
    <row r="2" spans="2:10" x14ac:dyDescent="0.35">
      <c r="B2" s="13" t="s">
        <v>47</v>
      </c>
      <c r="C2" s="13"/>
      <c r="D2" s="13"/>
      <c r="E2" s="14"/>
      <c r="F2" s="18"/>
      <c r="G2" s="14"/>
      <c r="H2" s="14"/>
      <c r="I2" s="14"/>
      <c r="J2" s="14"/>
    </row>
    <row r="3" spans="2:10" x14ac:dyDescent="0.35">
      <c r="B3" s="14"/>
      <c r="C3" s="13" t="s">
        <v>51</v>
      </c>
      <c r="D3" s="13" t="s">
        <v>45</v>
      </c>
      <c r="E3" s="13" t="s">
        <v>46</v>
      </c>
      <c r="F3" s="26" t="s">
        <v>2</v>
      </c>
      <c r="G3" s="13" t="s">
        <v>11</v>
      </c>
      <c r="H3" s="13" t="s">
        <v>3</v>
      </c>
      <c r="I3" s="13" t="s">
        <v>13</v>
      </c>
      <c r="J3" s="13" t="s">
        <v>10</v>
      </c>
    </row>
    <row r="4" spans="2:10" x14ac:dyDescent="0.35">
      <c r="B4" s="14" t="s">
        <v>0</v>
      </c>
      <c r="C4" s="15" t="s">
        <v>52</v>
      </c>
      <c r="D4" s="16">
        <v>0</v>
      </c>
      <c r="E4" s="16">
        <v>10</v>
      </c>
      <c r="F4" s="19">
        <v>5000000</v>
      </c>
      <c r="G4" s="15">
        <v>0</v>
      </c>
      <c r="H4" s="16">
        <v>50</v>
      </c>
      <c r="I4" s="16">
        <v>0</v>
      </c>
      <c r="J4" s="16">
        <v>2000</v>
      </c>
    </row>
    <row r="5" spans="2:10" x14ac:dyDescent="0.35">
      <c r="B5" s="14" t="s">
        <v>4</v>
      </c>
      <c r="C5" s="15" t="s">
        <v>52</v>
      </c>
      <c r="D5" s="16">
        <v>0</v>
      </c>
      <c r="E5" s="16">
        <v>20</v>
      </c>
      <c r="F5" s="19">
        <v>11000000</v>
      </c>
      <c r="G5" s="15">
        <v>0</v>
      </c>
      <c r="H5" s="16">
        <v>50</v>
      </c>
      <c r="I5" s="16">
        <v>0</v>
      </c>
      <c r="J5" s="16">
        <v>2500</v>
      </c>
    </row>
    <row r="6" spans="2:10" x14ac:dyDescent="0.35">
      <c r="B6" s="14" t="s">
        <v>5</v>
      </c>
      <c r="C6" s="15" t="s">
        <v>52</v>
      </c>
      <c r="D6" s="16">
        <v>0</v>
      </c>
      <c r="E6" s="16">
        <v>15</v>
      </c>
      <c r="F6" s="19">
        <v>8625000</v>
      </c>
      <c r="G6" s="15">
        <v>0</v>
      </c>
      <c r="H6" s="16">
        <v>50</v>
      </c>
      <c r="I6" s="16">
        <v>0</v>
      </c>
      <c r="J6" s="16">
        <v>2700</v>
      </c>
    </row>
    <row r="7" spans="2:10" x14ac:dyDescent="0.35">
      <c r="B7" s="14" t="s">
        <v>6</v>
      </c>
      <c r="C7" s="15" t="s">
        <v>52</v>
      </c>
      <c r="D7" s="16">
        <v>0</v>
      </c>
      <c r="E7" s="16">
        <v>75</v>
      </c>
      <c r="F7" s="19">
        <v>52500000</v>
      </c>
      <c r="G7" s="15">
        <v>0</v>
      </c>
      <c r="H7" s="16">
        <v>50</v>
      </c>
      <c r="I7" s="16">
        <v>0</v>
      </c>
      <c r="J7" s="16">
        <v>3120</v>
      </c>
    </row>
    <row r="8" spans="2:10" x14ac:dyDescent="0.35">
      <c r="B8" s="14"/>
      <c r="C8" s="14"/>
      <c r="D8" s="17"/>
      <c r="E8" s="17"/>
      <c r="F8" s="18"/>
      <c r="G8" s="17"/>
      <c r="H8" s="17"/>
      <c r="I8" s="17"/>
      <c r="J8" s="14"/>
    </row>
    <row r="9" spans="2:10" x14ac:dyDescent="0.35">
      <c r="B9" s="14"/>
      <c r="C9" s="14"/>
      <c r="D9" s="14"/>
      <c r="E9" s="14"/>
      <c r="F9" s="18"/>
      <c r="G9" s="14"/>
      <c r="H9" s="14"/>
      <c r="I9" s="14"/>
      <c r="J9" s="14"/>
    </row>
    <row r="10" spans="2:10" x14ac:dyDescent="0.35">
      <c r="B10" s="13" t="s">
        <v>48</v>
      </c>
      <c r="C10" s="13"/>
      <c r="D10" s="14"/>
      <c r="E10" s="14"/>
      <c r="F10" s="18"/>
      <c r="G10" s="14"/>
      <c r="H10" s="14"/>
      <c r="I10" s="14"/>
      <c r="J10" s="14"/>
    </row>
    <row r="11" spans="2:10" x14ac:dyDescent="0.35">
      <c r="B11" s="14"/>
      <c r="C11" s="13" t="s">
        <v>51</v>
      </c>
      <c r="D11" s="13" t="s">
        <v>45</v>
      </c>
      <c r="E11" s="13" t="s">
        <v>46</v>
      </c>
      <c r="F11" s="26" t="s">
        <v>2</v>
      </c>
      <c r="G11" s="13" t="s">
        <v>11</v>
      </c>
      <c r="H11" s="13" t="s">
        <v>9</v>
      </c>
      <c r="I11" s="13" t="s">
        <v>13</v>
      </c>
      <c r="J11" s="13" t="s">
        <v>10</v>
      </c>
    </row>
    <row r="12" spans="2:10" x14ac:dyDescent="0.35">
      <c r="B12" s="14" t="s">
        <v>50</v>
      </c>
      <c r="C12" s="15" t="s">
        <v>52</v>
      </c>
      <c r="D12" s="15">
        <v>75</v>
      </c>
      <c r="E12" s="15">
        <v>75</v>
      </c>
      <c r="F12" s="19">
        <v>18750000</v>
      </c>
      <c r="G12" s="15">
        <v>30</v>
      </c>
      <c r="H12" s="15">
        <v>50</v>
      </c>
      <c r="I12" s="16">
        <v>2000</v>
      </c>
      <c r="J12" s="16">
        <v>2500</v>
      </c>
    </row>
    <row r="13" spans="2:10" x14ac:dyDescent="0.35">
      <c r="B13" s="14" t="s">
        <v>49</v>
      </c>
      <c r="C13" s="15" t="s">
        <v>53</v>
      </c>
      <c r="D13" s="15">
        <v>50</v>
      </c>
      <c r="E13" s="15">
        <v>50</v>
      </c>
      <c r="F13" s="19">
        <v>7500000</v>
      </c>
      <c r="G13" s="15">
        <v>40</v>
      </c>
      <c r="H13" s="15">
        <v>70</v>
      </c>
      <c r="I13" s="16">
        <v>1750</v>
      </c>
      <c r="J13" s="16">
        <v>1750</v>
      </c>
    </row>
    <row r="14" spans="2:10" x14ac:dyDescent="0.35">
      <c r="B14" s="14" t="s">
        <v>60</v>
      </c>
      <c r="C14" s="15" t="s">
        <v>53</v>
      </c>
      <c r="D14" s="15">
        <v>350</v>
      </c>
      <c r="E14" s="15">
        <v>350</v>
      </c>
      <c r="F14" s="19">
        <v>61250000</v>
      </c>
      <c r="G14" s="15">
        <v>45</v>
      </c>
      <c r="H14" s="15">
        <v>70</v>
      </c>
      <c r="I14" s="16">
        <v>2750</v>
      </c>
      <c r="J14" s="16">
        <v>3150</v>
      </c>
    </row>
    <row r="15" spans="2:10" x14ac:dyDescent="0.35">
      <c r="B15" s="14" t="s">
        <v>61</v>
      </c>
      <c r="C15" s="15" t="s">
        <v>52</v>
      </c>
      <c r="D15" s="15">
        <v>100</v>
      </c>
      <c r="E15" s="15">
        <v>100</v>
      </c>
      <c r="F15" s="19">
        <v>26500000</v>
      </c>
      <c r="G15" s="15">
        <v>40</v>
      </c>
      <c r="H15" s="15">
        <v>70</v>
      </c>
      <c r="I15" s="16">
        <v>1500</v>
      </c>
      <c r="J15" s="16">
        <v>2800</v>
      </c>
    </row>
    <row r="16" spans="2:10" x14ac:dyDescent="0.35">
      <c r="B16" s="14" t="s">
        <v>54</v>
      </c>
      <c r="C16" s="15" t="s">
        <v>58</v>
      </c>
      <c r="D16" s="15">
        <v>25</v>
      </c>
      <c r="E16" s="15">
        <v>30</v>
      </c>
      <c r="F16" s="19">
        <v>2550000</v>
      </c>
      <c r="G16" s="15">
        <v>20</v>
      </c>
      <c r="H16" s="15">
        <v>50</v>
      </c>
      <c r="I16" s="16">
        <v>2000</v>
      </c>
      <c r="J16" s="16">
        <v>2000</v>
      </c>
    </row>
    <row r="17" spans="1:10" x14ac:dyDescent="0.35">
      <c r="B17" s="14"/>
      <c r="C17" s="14"/>
      <c r="D17" s="14"/>
      <c r="E17" s="14"/>
      <c r="F17" s="18"/>
      <c r="G17" s="14"/>
      <c r="H17" s="14"/>
      <c r="I17" s="14"/>
      <c r="J17" s="14"/>
    </row>
    <row r="18" spans="1:10" x14ac:dyDescent="0.35">
      <c r="B18" s="14"/>
      <c r="C18" s="14"/>
      <c r="D18" s="14"/>
      <c r="E18" s="14"/>
      <c r="F18" s="18"/>
      <c r="G18" s="14"/>
      <c r="H18" s="14"/>
      <c r="I18" s="14"/>
      <c r="J18" s="14"/>
    </row>
    <row r="19" spans="1:10" x14ac:dyDescent="0.35">
      <c r="B19" s="13" t="s">
        <v>55</v>
      </c>
      <c r="C19" s="13"/>
      <c r="D19" s="14"/>
      <c r="E19" s="14"/>
      <c r="F19" s="18"/>
      <c r="G19" s="14"/>
      <c r="H19" s="14"/>
      <c r="I19" s="14"/>
      <c r="J19" s="14"/>
    </row>
    <row r="20" spans="1:10" x14ac:dyDescent="0.35">
      <c r="B20" s="14"/>
      <c r="C20" s="13" t="s">
        <v>51</v>
      </c>
      <c r="D20" s="13" t="s">
        <v>45</v>
      </c>
      <c r="E20" s="13" t="s">
        <v>46</v>
      </c>
      <c r="F20" s="26" t="s">
        <v>2</v>
      </c>
      <c r="G20" s="13" t="s">
        <v>11</v>
      </c>
      <c r="H20" s="13" t="s">
        <v>9</v>
      </c>
      <c r="I20" s="13" t="s">
        <v>13</v>
      </c>
      <c r="J20" s="13" t="s">
        <v>10</v>
      </c>
    </row>
    <row r="21" spans="1:10" x14ac:dyDescent="0.35">
      <c r="B21" s="14" t="s">
        <v>56</v>
      </c>
      <c r="C21" s="15" t="s">
        <v>52</v>
      </c>
      <c r="D21" s="15">
        <v>1</v>
      </c>
      <c r="E21" s="15">
        <v>1</v>
      </c>
      <c r="F21" s="19">
        <v>500000</v>
      </c>
      <c r="G21" s="15">
        <v>30</v>
      </c>
      <c r="H21" s="15">
        <v>50</v>
      </c>
      <c r="I21" s="16">
        <v>2000</v>
      </c>
      <c r="J21" s="16">
        <v>2100</v>
      </c>
    </row>
    <row r="22" spans="1:10" x14ac:dyDescent="0.35">
      <c r="B22" s="14" t="s">
        <v>57</v>
      </c>
      <c r="C22" s="15" t="s">
        <v>53</v>
      </c>
      <c r="D22" s="15">
        <v>1</v>
      </c>
      <c r="E22" s="15">
        <v>1</v>
      </c>
      <c r="F22" s="19">
        <v>1000000</v>
      </c>
      <c r="G22" s="15">
        <v>40</v>
      </c>
      <c r="H22" s="15">
        <v>70</v>
      </c>
      <c r="I22" s="16">
        <v>1750</v>
      </c>
      <c r="J22" s="16">
        <v>1750</v>
      </c>
    </row>
    <row r="23" spans="1:10" x14ac:dyDescent="0.35">
      <c r="B23" s="14" t="s">
        <v>62</v>
      </c>
      <c r="C23" s="15" t="s">
        <v>53</v>
      </c>
      <c r="D23" s="15">
        <v>1</v>
      </c>
      <c r="E23" s="15">
        <v>1</v>
      </c>
      <c r="F23" s="19">
        <v>2000000</v>
      </c>
      <c r="G23" s="15">
        <v>45</v>
      </c>
      <c r="H23" s="15">
        <v>70</v>
      </c>
      <c r="I23" s="16">
        <v>900</v>
      </c>
      <c r="J23" s="16">
        <v>1500</v>
      </c>
    </row>
    <row r="24" spans="1:10" x14ac:dyDescent="0.35">
      <c r="B24" s="14" t="s">
        <v>63</v>
      </c>
      <c r="C24" s="15" t="s">
        <v>52</v>
      </c>
      <c r="D24" s="15">
        <v>1</v>
      </c>
      <c r="E24" s="15">
        <v>1</v>
      </c>
      <c r="F24" s="19">
        <v>10500000</v>
      </c>
      <c r="G24" s="15">
        <v>40</v>
      </c>
      <c r="H24" s="15">
        <v>80</v>
      </c>
      <c r="I24" s="16">
        <v>1000</v>
      </c>
      <c r="J24" s="16">
        <v>2200</v>
      </c>
    </row>
    <row r="25" spans="1:10" x14ac:dyDescent="0.35">
      <c r="B25" s="14" t="s">
        <v>59</v>
      </c>
      <c r="C25" s="15" t="s">
        <v>52</v>
      </c>
      <c r="D25" s="15">
        <v>1</v>
      </c>
      <c r="E25" s="15">
        <v>1</v>
      </c>
      <c r="F25" s="19">
        <v>30000000</v>
      </c>
      <c r="G25" s="15">
        <v>0</v>
      </c>
      <c r="H25" s="15">
        <v>50</v>
      </c>
      <c r="I25" s="16">
        <v>0</v>
      </c>
      <c r="J25" s="16">
        <v>2200</v>
      </c>
    </row>
    <row r="30" spans="1:10" x14ac:dyDescent="0.35">
      <c r="B30" s="21" t="s">
        <v>64</v>
      </c>
    </row>
    <row r="32" spans="1:10" x14ac:dyDescent="0.35">
      <c r="A32">
        <v>1</v>
      </c>
      <c r="B32" t="s">
        <v>65</v>
      </c>
    </row>
    <row r="33" spans="1:2" x14ac:dyDescent="0.35">
      <c r="A33">
        <v>2</v>
      </c>
      <c r="B33" t="s">
        <v>66</v>
      </c>
    </row>
    <row r="34" spans="1:2" x14ac:dyDescent="0.35">
      <c r="A34">
        <v>3</v>
      </c>
      <c r="B34" t="s">
        <v>86</v>
      </c>
    </row>
  </sheetData>
  <phoneticPr fontId="4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91991-ACF1-431E-8317-FFAA62AB2EE9}">
  <dimension ref="B2:H42"/>
  <sheetViews>
    <sheetView topLeftCell="C1" workbookViewId="0">
      <selection activeCell="G18" sqref="G18"/>
    </sheetView>
  </sheetViews>
  <sheetFormatPr defaultRowHeight="14.5" x14ac:dyDescent="0.35"/>
  <cols>
    <col min="2" max="2" width="52.6328125" bestFit="1" customWidth="1"/>
    <col min="3" max="3" width="31.81640625" bestFit="1" customWidth="1"/>
    <col min="4" max="4" width="18" style="14" customWidth="1"/>
    <col min="5" max="5" width="15.81640625" style="14" customWidth="1"/>
    <col min="6" max="6" width="14.90625" style="14" customWidth="1"/>
    <col min="7" max="7" width="15.6328125" style="14" customWidth="1"/>
    <col min="8" max="8" width="138.90625" bestFit="1" customWidth="1"/>
    <col min="12" max="12" width="28.08984375" bestFit="1" customWidth="1"/>
    <col min="13" max="13" width="14.36328125" bestFit="1" customWidth="1"/>
  </cols>
  <sheetData>
    <row r="2" spans="2:8" x14ac:dyDescent="0.35">
      <c r="B2" s="27" t="s">
        <v>71</v>
      </c>
      <c r="C2" s="28" t="s">
        <v>91</v>
      </c>
      <c r="D2" s="29" t="s">
        <v>67</v>
      </c>
      <c r="E2" s="29" t="s">
        <v>68</v>
      </c>
      <c r="F2" s="29" t="s">
        <v>69</v>
      </c>
      <c r="G2" s="29" t="s">
        <v>70</v>
      </c>
      <c r="H2" s="27" t="s">
        <v>44</v>
      </c>
    </row>
    <row r="3" spans="2:8" x14ac:dyDescent="0.35">
      <c r="B3" s="22" t="s">
        <v>79</v>
      </c>
      <c r="C3" s="25" t="s">
        <v>72</v>
      </c>
      <c r="D3" s="39" t="s">
        <v>97</v>
      </c>
      <c r="E3" s="40"/>
      <c r="F3" s="40"/>
      <c r="G3" s="41"/>
      <c r="H3" s="22" t="s">
        <v>98</v>
      </c>
    </row>
    <row r="4" spans="2:8" x14ac:dyDescent="0.35">
      <c r="B4" s="22" t="s">
        <v>73</v>
      </c>
      <c r="C4" s="25" t="s">
        <v>85</v>
      </c>
      <c r="D4" s="23">
        <f>'CMP315 - NS'!D33</f>
        <v>13.25012504255562</v>
      </c>
      <c r="E4" s="23">
        <f>LCP!D33</f>
        <v>0</v>
      </c>
      <c r="F4" s="23">
        <f>'CMP375 - GN'!D33</f>
        <v>12.647112325559563</v>
      </c>
      <c r="G4" s="23">
        <f>PJ!D33</f>
        <v>13.25012504255562</v>
      </c>
      <c r="H4" s="22" t="s">
        <v>74</v>
      </c>
    </row>
    <row r="5" spans="2:8" x14ac:dyDescent="0.35">
      <c r="B5" s="24" t="s">
        <v>75</v>
      </c>
      <c r="C5" s="23" t="s">
        <v>87</v>
      </c>
      <c r="D5" s="23">
        <f>'CMP315 - NS'!D34</f>
        <v>12.382790021732751</v>
      </c>
      <c r="E5" s="23">
        <f>LCP!D34</f>
        <v>0</v>
      </c>
      <c r="F5" s="23">
        <f>'CMP375 - GN'!D34</f>
        <v>7.8334370753737694</v>
      </c>
      <c r="G5" s="23">
        <f>PJ!D34</f>
        <v>13.059544019687298</v>
      </c>
      <c r="H5" s="22" t="s">
        <v>83</v>
      </c>
    </row>
    <row r="6" spans="2:8" x14ac:dyDescent="0.35">
      <c r="B6" s="24" t="s">
        <v>76</v>
      </c>
      <c r="C6" s="23" t="s">
        <v>88</v>
      </c>
      <c r="D6" s="23">
        <f>'CMP315 - NS'!D35</f>
        <v>12.618959024922001</v>
      </c>
      <c r="E6" s="23">
        <f>LCP!D35</f>
        <v>0</v>
      </c>
      <c r="F6" s="23">
        <f>'CMP375 - GN'!D35</f>
        <v>5.4911675766811223</v>
      </c>
      <c r="G6" s="23">
        <f>PJ!D35</f>
        <v>8.0463369474271111</v>
      </c>
      <c r="H6" s="22" t="s">
        <v>84</v>
      </c>
    </row>
    <row r="7" spans="2:8" x14ac:dyDescent="0.35">
      <c r="B7" s="24" t="s">
        <v>77</v>
      </c>
      <c r="C7" s="23" t="s">
        <v>89</v>
      </c>
      <c r="D7" s="23">
        <f>'CMP315 - NS'!D36</f>
        <v>19.796681122934682</v>
      </c>
      <c r="E7" s="23">
        <f>LCP!D36</f>
        <v>0</v>
      </c>
      <c r="F7" s="23">
        <f>'CMP375 - GN'!D36</f>
        <v>18.895734872759302</v>
      </c>
      <c r="G7" s="23">
        <f>PJ!D36</f>
        <v>19.796681122934682</v>
      </c>
      <c r="H7" s="22"/>
    </row>
    <row r="8" spans="2:8" x14ac:dyDescent="0.35">
      <c r="B8" s="24" t="s">
        <v>78</v>
      </c>
      <c r="C8" s="25" t="s">
        <v>90</v>
      </c>
      <c r="D8" s="23">
        <f>'CMP315 - NS'!D37</f>
        <v>12.408621303332289</v>
      </c>
      <c r="E8" s="23">
        <f>LCP!D37</f>
        <v>0</v>
      </c>
      <c r="F8" s="23">
        <f>'CMP375 - GN'!D37</f>
        <v>5.3567182211082907</v>
      </c>
      <c r="G8" s="23">
        <f>PJ!D37</f>
        <v>9.4323200192466121</v>
      </c>
      <c r="H8" s="22"/>
    </row>
    <row r="9" spans="2:8" x14ac:dyDescent="0.35">
      <c r="B9" s="24" t="s">
        <v>96</v>
      </c>
      <c r="C9" s="25" t="s">
        <v>92</v>
      </c>
      <c r="D9" s="23">
        <f>'CMP315 - NS'!D38</f>
        <v>14.928337601984456</v>
      </c>
      <c r="E9" s="23">
        <f>LCP!D38</f>
        <v>0</v>
      </c>
      <c r="F9" s="23">
        <f>'CMP375 - GN'!D38</f>
        <v>10.966693359006825</v>
      </c>
      <c r="G9" s="23">
        <f>PJ!D38</f>
        <v>16.346189635888393</v>
      </c>
      <c r="H9" s="22" t="s">
        <v>80</v>
      </c>
    </row>
    <row r="10" spans="2:8" x14ac:dyDescent="0.35">
      <c r="B10" s="24" t="s">
        <v>95</v>
      </c>
      <c r="C10" s="25" t="s">
        <v>93</v>
      </c>
      <c r="D10" s="23">
        <f>'CMP315 - NS'!D39</f>
        <v>12.639021758444757</v>
      </c>
      <c r="E10" s="23">
        <f>LCP!D39</f>
        <v>0</v>
      </c>
      <c r="F10" s="23">
        <f>'CMP375 - GN'!D39</f>
        <v>5.675834023255999</v>
      </c>
      <c r="G10" s="23">
        <f>PJ!D39</f>
        <v>8.2679068155418847</v>
      </c>
      <c r="H10" s="22" t="s">
        <v>81</v>
      </c>
    </row>
    <row r="11" spans="2:8" x14ac:dyDescent="0.35">
      <c r="B11" s="24" t="s">
        <v>82</v>
      </c>
      <c r="C11" s="25" t="s">
        <v>94</v>
      </c>
      <c r="D11" s="23">
        <f>'CMP315 - NS'!D40</f>
        <v>13.567190529112864</v>
      </c>
      <c r="E11" s="23">
        <f>LCP!D40</f>
        <v>0</v>
      </c>
      <c r="F11" s="23">
        <f>'CMP375 - GN'!D40</f>
        <v>6.9071332915434542</v>
      </c>
      <c r="G11" s="23">
        <f>PJ!D40</f>
        <v>11.078606237229565</v>
      </c>
      <c r="H11" s="22"/>
    </row>
    <row r="12" spans="2:8" x14ac:dyDescent="0.35">
      <c r="C12" s="14"/>
      <c r="G12"/>
    </row>
    <row r="13" spans="2:8" x14ac:dyDescent="0.35">
      <c r="C13" s="14"/>
      <c r="G13"/>
    </row>
    <row r="14" spans="2:8" x14ac:dyDescent="0.35">
      <c r="C14" s="14"/>
      <c r="G14"/>
    </row>
    <row r="15" spans="2:8" x14ac:dyDescent="0.35">
      <c r="B15" s="13" t="str">
        <f>Projects!B2</f>
        <v>New Build Circuits</v>
      </c>
      <c r="C15" s="13" t="str">
        <f>Projects!C3</f>
        <v>Primary Driver</v>
      </c>
      <c r="G15"/>
    </row>
    <row r="16" spans="2:8" x14ac:dyDescent="0.35">
      <c r="B16" s="14" t="str">
        <f>Projects!B4</f>
        <v>NB1</v>
      </c>
      <c r="C16" s="15" t="str">
        <f>Projects!C4</f>
        <v>Capacity (load)</v>
      </c>
      <c r="G16"/>
    </row>
    <row r="17" spans="2:7" x14ac:dyDescent="0.35">
      <c r="B17" s="14" t="str">
        <f>Projects!B5</f>
        <v>NB2</v>
      </c>
      <c r="C17" s="15" t="str">
        <f>Projects!C5</f>
        <v>Capacity (load)</v>
      </c>
      <c r="G17"/>
    </row>
    <row r="18" spans="2:7" x14ac:dyDescent="0.35">
      <c r="B18" s="14" t="str">
        <f>Projects!B6</f>
        <v>NB3</v>
      </c>
      <c r="C18" s="15" t="str">
        <f>Projects!C6</f>
        <v>Capacity (load)</v>
      </c>
      <c r="G18"/>
    </row>
    <row r="19" spans="2:7" x14ac:dyDescent="0.35">
      <c r="B19" s="14" t="str">
        <f>Projects!B7</f>
        <v>NB4</v>
      </c>
      <c r="C19" s="15" t="str">
        <f>Projects!C7</f>
        <v>Capacity (load)</v>
      </c>
      <c r="G19"/>
    </row>
    <row r="20" spans="2:7" x14ac:dyDescent="0.35">
      <c r="B20" s="14"/>
      <c r="C20" s="14"/>
      <c r="G20"/>
    </row>
    <row r="21" spans="2:7" x14ac:dyDescent="0.35">
      <c r="B21" s="14"/>
      <c r="C21" s="14"/>
      <c r="G21"/>
    </row>
    <row r="22" spans="2:7" x14ac:dyDescent="0.35">
      <c r="B22" s="13" t="str">
        <f>Projects!B10</f>
        <v>Enhancement of existing circuits</v>
      </c>
      <c r="C22" s="13" t="str">
        <f>Projects!C11</f>
        <v>Primary Driver</v>
      </c>
      <c r="G22"/>
    </row>
    <row r="23" spans="2:7" x14ac:dyDescent="0.35">
      <c r="B23" s="14" t="str">
        <f>Projects!B12</f>
        <v>Recon 1 - Increase Cap</v>
      </c>
      <c r="C23" s="15" t="str">
        <f>Projects!C12</f>
        <v>Capacity (load)</v>
      </c>
      <c r="G23"/>
    </row>
    <row r="24" spans="2:7" x14ac:dyDescent="0.35">
      <c r="B24" s="14" t="str">
        <f>Projects!B13</f>
        <v>Recon 2 - Life Extension</v>
      </c>
      <c r="C24" s="15" t="str">
        <f>Projects!C13</f>
        <v>Life (non-load)</v>
      </c>
      <c r="G24"/>
    </row>
    <row r="25" spans="2:7" x14ac:dyDescent="0.35">
      <c r="B25" s="14" t="str">
        <f>Projects!B14</f>
        <v>Recon 3 - Cap &amp; Life Increase</v>
      </c>
      <c r="C25" s="15" t="str">
        <f>Projects!C14</f>
        <v>Life (non-load)</v>
      </c>
      <c r="G25"/>
    </row>
    <row r="26" spans="2:7" x14ac:dyDescent="0.35">
      <c r="B26" s="14" t="str">
        <f>Projects!B15</f>
        <v>Recon 4 - Cap &amp; Life Increase</v>
      </c>
      <c r="C26" s="15" t="str">
        <f>Projects!C15</f>
        <v>Capacity (load)</v>
      </c>
      <c r="G26"/>
    </row>
    <row r="27" spans="2:7" x14ac:dyDescent="0.35">
      <c r="B27" s="14" t="str">
        <f>Projects!B16</f>
        <v>Recon 5 - route change</v>
      </c>
      <c r="C27" s="15" t="str">
        <f>Projects!C16</f>
        <v>Rerouting (load)</v>
      </c>
      <c r="G27"/>
    </row>
    <row r="28" spans="2:7" x14ac:dyDescent="0.35">
      <c r="B28" s="14"/>
      <c r="C28" s="14"/>
      <c r="G28"/>
    </row>
    <row r="29" spans="2:7" x14ac:dyDescent="0.35">
      <c r="B29" s="14"/>
      <c r="C29" s="14"/>
      <c r="G29"/>
    </row>
    <row r="30" spans="2:7" x14ac:dyDescent="0.35">
      <c r="B30" s="13" t="str">
        <f>Projects!B19</f>
        <v>Non-circuit</v>
      </c>
      <c r="C30" s="13" t="str">
        <f>Projects!C20</f>
        <v>Primary Driver</v>
      </c>
      <c r="G30"/>
    </row>
    <row r="31" spans="2:7" x14ac:dyDescent="0.35">
      <c r="B31" s="14" t="str">
        <f>Projects!B21</f>
        <v>Sub 1 - Increase Cap</v>
      </c>
      <c r="C31" s="15" t="str">
        <f>Projects!C21</f>
        <v>Capacity (load)</v>
      </c>
      <c r="G31"/>
    </row>
    <row r="32" spans="2:7" x14ac:dyDescent="0.35">
      <c r="B32" s="14" t="str">
        <f>Projects!B22</f>
        <v>Sub 2 - Life Extension</v>
      </c>
      <c r="C32" s="15" t="str">
        <f>Projects!C22</f>
        <v>Life (non-load)</v>
      </c>
      <c r="G32"/>
    </row>
    <row r="33" spans="2:7" x14ac:dyDescent="0.35">
      <c r="B33" s="14" t="str">
        <f>Projects!B23</f>
        <v>Sub 3 - Cap &amp; Life Increase</v>
      </c>
      <c r="C33" s="15" t="str">
        <f>Projects!C23</f>
        <v>Life (non-load)</v>
      </c>
      <c r="G33"/>
    </row>
    <row r="34" spans="2:7" x14ac:dyDescent="0.35">
      <c r="B34" s="14" t="str">
        <f>Projects!B24</f>
        <v>Sub 4 - Cap &amp; Life Increase</v>
      </c>
      <c r="C34" s="15" t="str">
        <f>Projects!C24</f>
        <v>Capacity (load)</v>
      </c>
      <c r="G34"/>
    </row>
    <row r="35" spans="2:7" x14ac:dyDescent="0.35">
      <c r="B35" s="14" t="str">
        <f>Projects!B25</f>
        <v>Sub 5 - New Build</v>
      </c>
      <c r="C35" s="15" t="str">
        <f>Projects!C25</f>
        <v>Capacity (load)</v>
      </c>
      <c r="G35"/>
    </row>
    <row r="36" spans="2:7" x14ac:dyDescent="0.35">
      <c r="C36" s="14"/>
      <c r="G36"/>
    </row>
    <row r="37" spans="2:7" x14ac:dyDescent="0.35">
      <c r="C37" s="14"/>
      <c r="G37"/>
    </row>
    <row r="38" spans="2:7" x14ac:dyDescent="0.35">
      <c r="C38" s="14"/>
      <c r="G38"/>
    </row>
    <row r="39" spans="2:7" x14ac:dyDescent="0.35">
      <c r="C39" s="14"/>
      <c r="G39"/>
    </row>
    <row r="40" spans="2:7" x14ac:dyDescent="0.35">
      <c r="C40" s="14"/>
      <c r="G40"/>
    </row>
    <row r="41" spans="2:7" x14ac:dyDescent="0.35">
      <c r="C41" s="14"/>
      <c r="G41"/>
    </row>
    <row r="42" spans="2:7" x14ac:dyDescent="0.35">
      <c r="C42" s="14"/>
      <c r="G42"/>
    </row>
  </sheetData>
  <mergeCells count="1">
    <mergeCell ref="D3:G3"/>
  </mergeCells>
  <phoneticPr fontId="4" type="noConversion"/>
  <pageMargins left="0.7" right="0.7" top="0.75" bottom="0.75" header="0.3" footer="0.3"/>
  <pageSetup paperSize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A9F04-E647-4827-89E7-A6E3E1DDCDED}">
  <dimension ref="B2:S40"/>
  <sheetViews>
    <sheetView topLeftCell="C1" workbookViewId="0">
      <selection activeCell="M7" sqref="M7"/>
    </sheetView>
  </sheetViews>
  <sheetFormatPr defaultRowHeight="14.5" x14ac:dyDescent="0.35"/>
  <cols>
    <col min="2" max="2" width="52.6328125" bestFit="1" customWidth="1"/>
    <col min="3" max="3" width="31.81640625" bestFit="1" customWidth="1"/>
    <col min="4" max="4" width="17.453125" bestFit="1" customWidth="1"/>
    <col min="5" max="5" width="14.90625" bestFit="1" customWidth="1"/>
    <col min="6" max="6" width="13.453125" bestFit="1" customWidth="1"/>
    <col min="7" max="7" width="25.6328125" bestFit="1" customWidth="1"/>
    <col min="8" max="8" width="13.81640625" bestFit="1" customWidth="1"/>
    <col min="9" max="9" width="18.81640625" bestFit="1" customWidth="1"/>
    <col min="10" max="10" width="17.90625" bestFit="1" customWidth="1"/>
    <col min="11" max="11" width="33.7265625" bestFit="1" customWidth="1"/>
    <col min="12" max="12" width="28.453125" bestFit="1" customWidth="1"/>
    <col min="13" max="13" width="18.1796875" bestFit="1" customWidth="1"/>
    <col min="14" max="14" width="21.1796875" bestFit="1" customWidth="1"/>
    <col min="15" max="15" width="34.7265625" bestFit="1" customWidth="1"/>
    <col min="16" max="16" width="11" bestFit="1" customWidth="1"/>
    <col min="18" max="18" width="30.54296875" bestFit="1" customWidth="1"/>
    <col min="19" max="19" width="6.36328125" bestFit="1" customWidth="1"/>
  </cols>
  <sheetData>
    <row r="2" spans="2:19" x14ac:dyDescent="0.35">
      <c r="B2" s="12" t="s">
        <v>40</v>
      </c>
    </row>
    <row r="4" spans="2:19" x14ac:dyDescent="0.35">
      <c r="R4" s="1" t="s">
        <v>8</v>
      </c>
    </row>
    <row r="5" spans="2:19" x14ac:dyDescent="0.35">
      <c r="B5" s="13" t="str">
        <f>Projects!B2</f>
        <v>New Build Circuits</v>
      </c>
      <c r="C5" s="13"/>
      <c r="D5" s="13"/>
      <c r="E5" s="14"/>
      <c r="F5" s="18"/>
      <c r="G5" s="14"/>
      <c r="H5" s="14"/>
      <c r="I5" s="14"/>
      <c r="J5" s="14"/>
      <c r="L5" s="20"/>
      <c r="M5" s="20"/>
    </row>
    <row r="6" spans="2:19" x14ac:dyDescent="0.35">
      <c r="B6" s="14"/>
      <c r="C6" s="14" t="str">
        <f>Projects!C3</f>
        <v>Primary Driver</v>
      </c>
      <c r="D6" s="14" t="str">
        <f>Projects!D3</f>
        <v>Initial Length (km)</v>
      </c>
      <c r="E6" s="14" t="str">
        <f>Projects!E3</f>
        <v>New Length (km)</v>
      </c>
      <c r="F6" s="18" t="str">
        <f>Projects!F3</f>
        <v>Capital Cost (£)</v>
      </c>
      <c r="G6" s="14" t="str">
        <f>Projects!G3</f>
        <v>Time from initial build (years)</v>
      </c>
      <c r="H6" s="14" t="str">
        <f>Projects!H3</f>
        <v>Life( years)</v>
      </c>
      <c r="I6" s="14" t="str">
        <f>Projects!I3</f>
        <v>Initial Capacity (MVA)</v>
      </c>
      <c r="J6" s="14" t="str">
        <f>Projects!J3</f>
        <v>New Capacity (MVA)</v>
      </c>
      <c r="K6" t="s">
        <v>20</v>
      </c>
      <c r="L6" s="20" t="s">
        <v>14</v>
      </c>
      <c r="M6" s="20" t="s">
        <v>15</v>
      </c>
      <c r="N6" t="s">
        <v>16</v>
      </c>
      <c r="O6" t="s">
        <v>17</v>
      </c>
      <c r="R6" t="s">
        <v>12</v>
      </c>
      <c r="S6">
        <v>5.5E-2</v>
      </c>
    </row>
    <row r="7" spans="2:19" x14ac:dyDescent="0.35">
      <c r="B7" s="14" t="str">
        <f>Projects!B4</f>
        <v>NB1</v>
      </c>
      <c r="C7" s="15" t="str">
        <f>Projects!C4</f>
        <v>Capacity (load)</v>
      </c>
      <c r="D7" s="16">
        <f>Projects!D4</f>
        <v>0</v>
      </c>
      <c r="E7" s="16">
        <f>Projects!E4</f>
        <v>10</v>
      </c>
      <c r="F7" s="19">
        <f>Projects!F4</f>
        <v>5000000</v>
      </c>
      <c r="G7" s="15">
        <f>Projects!G4</f>
        <v>0</v>
      </c>
      <c r="H7" s="16">
        <f>Projects!H4</f>
        <v>50</v>
      </c>
      <c r="I7" s="16">
        <f>Projects!I4</f>
        <v>0</v>
      </c>
      <c r="J7" s="16">
        <f>Projects!J4</f>
        <v>2000</v>
      </c>
      <c r="K7">
        <f>(I7*G7+ (H7-G7)*J7)/H7</f>
        <v>2000</v>
      </c>
      <c r="L7" s="20">
        <v>0</v>
      </c>
      <c r="M7" s="20">
        <f>L7+F7*(1+WACC)^-G7</f>
        <v>5000000</v>
      </c>
      <c r="N7" s="2">
        <f>M7/(E7*K7)</f>
        <v>250</v>
      </c>
      <c r="O7" s="5">
        <f>WACC/(1-(1+WACC)^-H7)*N7</f>
        <v>14.765362530754407</v>
      </c>
    </row>
    <row r="8" spans="2:19" x14ac:dyDescent="0.35">
      <c r="B8" s="14" t="str">
        <f>Projects!B5</f>
        <v>NB2</v>
      </c>
      <c r="C8" s="15" t="str">
        <f>Projects!C5</f>
        <v>Capacity (load)</v>
      </c>
      <c r="D8" s="16">
        <f>Projects!D5</f>
        <v>0</v>
      </c>
      <c r="E8" s="16">
        <f>Projects!E5</f>
        <v>20</v>
      </c>
      <c r="F8" s="19">
        <f>Projects!F5</f>
        <v>11000000</v>
      </c>
      <c r="G8" s="15">
        <f>Projects!G5</f>
        <v>0</v>
      </c>
      <c r="H8" s="16">
        <f>Projects!H5</f>
        <v>50</v>
      </c>
      <c r="I8" s="16">
        <f>Projects!I5</f>
        <v>0</v>
      </c>
      <c r="J8" s="16">
        <f>Projects!J5</f>
        <v>2500</v>
      </c>
      <c r="K8">
        <f t="shared" ref="K8:K10" si="0">(I8*G8+ (H8-G8)*J8)/H8</f>
        <v>2500</v>
      </c>
      <c r="L8" s="20">
        <v>0</v>
      </c>
      <c r="M8" s="20">
        <f>L8+F8*(1+WACC)^-G8</f>
        <v>11000000</v>
      </c>
      <c r="N8" s="2">
        <f t="shared" ref="N8:N10" si="1">M8/(E8*K8)</f>
        <v>220</v>
      </c>
      <c r="O8" s="5">
        <f>WACC/(1-(1+WACC)^-H8)*N8</f>
        <v>12.993519027063877</v>
      </c>
      <c r="R8" t="s">
        <v>18</v>
      </c>
      <c r="S8" s="3">
        <f>SUMPRODUCT(N7:N10, E7:E10) / SUM(E7:E10)</f>
        <v>224.34472934472936</v>
      </c>
    </row>
    <row r="9" spans="2:19" x14ac:dyDescent="0.35">
      <c r="B9" s="14" t="str">
        <f>Projects!B6</f>
        <v>NB3</v>
      </c>
      <c r="C9" s="15" t="str">
        <f>Projects!C6</f>
        <v>Capacity (load)</v>
      </c>
      <c r="D9" s="16">
        <f>Projects!D6</f>
        <v>0</v>
      </c>
      <c r="E9" s="16">
        <f>Projects!E6</f>
        <v>15</v>
      </c>
      <c r="F9" s="19">
        <f>Projects!F6</f>
        <v>8625000</v>
      </c>
      <c r="G9" s="15">
        <f>Projects!G6</f>
        <v>0</v>
      </c>
      <c r="H9" s="16">
        <f>Projects!H6</f>
        <v>50</v>
      </c>
      <c r="I9" s="16">
        <f>Projects!I6</f>
        <v>0</v>
      </c>
      <c r="J9" s="16">
        <f>Projects!J6</f>
        <v>2700</v>
      </c>
      <c r="K9">
        <f t="shared" si="0"/>
        <v>2700</v>
      </c>
      <c r="L9" s="20">
        <v>0</v>
      </c>
      <c r="M9" s="20">
        <f>L9+F9*(1+WACC)^-G9</f>
        <v>8625000</v>
      </c>
      <c r="N9" s="2">
        <f t="shared" si="1"/>
        <v>212.96296296296296</v>
      </c>
      <c r="O9" s="5">
        <f>WACC/(1-(1+WACC)^-H9)*N9</f>
        <v>12.577901415087087</v>
      </c>
    </row>
    <row r="10" spans="2:19" x14ac:dyDescent="0.35">
      <c r="B10" s="14" t="str">
        <f>Projects!B7</f>
        <v>NB4</v>
      </c>
      <c r="C10" s="15" t="str">
        <f>Projects!C7</f>
        <v>Capacity (load)</v>
      </c>
      <c r="D10" s="16">
        <f>Projects!D7</f>
        <v>0</v>
      </c>
      <c r="E10" s="16">
        <f>Projects!E7</f>
        <v>75</v>
      </c>
      <c r="F10" s="19">
        <f>Projects!F7</f>
        <v>52500000</v>
      </c>
      <c r="G10" s="15">
        <f>Projects!G7</f>
        <v>0</v>
      </c>
      <c r="H10" s="16">
        <f>Projects!H7</f>
        <v>50</v>
      </c>
      <c r="I10" s="16">
        <f>Projects!I7</f>
        <v>0</v>
      </c>
      <c r="J10" s="16">
        <f>Projects!J7</f>
        <v>3120</v>
      </c>
      <c r="K10">
        <f t="shared" si="0"/>
        <v>3120</v>
      </c>
      <c r="L10" s="20">
        <v>0</v>
      </c>
      <c r="M10" s="20">
        <f>L10+F10*(1+WACC)^-G10</f>
        <v>52500000</v>
      </c>
      <c r="N10" s="2">
        <f t="shared" si="1"/>
        <v>224.35897435897436</v>
      </c>
      <c r="O10" s="5">
        <f>WACC/(1-(1+WACC)^-H10)*N10</f>
        <v>13.250966373753954</v>
      </c>
    </row>
    <row r="11" spans="2:19" x14ac:dyDescent="0.35">
      <c r="B11" s="14"/>
      <c r="C11" s="14"/>
      <c r="D11" s="17"/>
      <c r="E11" s="17"/>
      <c r="F11" s="18"/>
      <c r="G11" s="17"/>
      <c r="H11" s="17"/>
      <c r="I11" s="17"/>
      <c r="J11" s="14"/>
      <c r="L11" s="20"/>
      <c r="M11" s="20"/>
    </row>
    <row r="12" spans="2:19" x14ac:dyDescent="0.35">
      <c r="B12" s="14"/>
      <c r="C12" s="14"/>
      <c r="D12" s="14"/>
      <c r="E12" s="14"/>
      <c r="F12" s="18"/>
      <c r="G12" s="14"/>
      <c r="H12" s="14"/>
      <c r="I12" s="14"/>
      <c r="J12" s="14"/>
      <c r="L12" s="20"/>
      <c r="M12" s="20"/>
    </row>
    <row r="13" spans="2:19" x14ac:dyDescent="0.35">
      <c r="B13" s="13" t="str">
        <f>Projects!B10</f>
        <v>Enhancement of existing circuits</v>
      </c>
      <c r="C13" s="13"/>
      <c r="D13" s="14"/>
      <c r="E13" s="14"/>
      <c r="F13" s="18"/>
      <c r="G13" s="14"/>
      <c r="H13" s="14"/>
      <c r="I13" s="14"/>
      <c r="J13" s="14"/>
      <c r="L13" s="20"/>
      <c r="M13" s="20"/>
    </row>
    <row r="14" spans="2:19" x14ac:dyDescent="0.35">
      <c r="B14" s="14"/>
      <c r="C14" s="14" t="str">
        <f>Projects!C11</f>
        <v>Primary Driver</v>
      </c>
      <c r="D14" s="14" t="str">
        <f>Projects!D11</f>
        <v>Initial Length (km)</v>
      </c>
      <c r="E14" s="14" t="str">
        <f>Projects!E11</f>
        <v>New Length (km)</v>
      </c>
      <c r="F14" s="18" t="str">
        <f>Projects!F11</f>
        <v>Capital Cost (£)</v>
      </c>
      <c r="G14" s="14" t="str">
        <f>Projects!G11</f>
        <v>Time from initial build (years)</v>
      </c>
      <c r="H14" s="14" t="str">
        <f>Projects!H11</f>
        <v>New life (years)</v>
      </c>
      <c r="I14" s="14" t="str">
        <f>Projects!I11</f>
        <v>Initial Capacity (MVA)</v>
      </c>
      <c r="J14" s="14" t="str">
        <f>Projects!J11</f>
        <v>New Capacity (MVA)</v>
      </c>
      <c r="K14" t="s">
        <v>20</v>
      </c>
      <c r="L14" s="20" t="s">
        <v>14</v>
      </c>
      <c r="M14" s="20" t="s">
        <v>15</v>
      </c>
      <c r="N14" t="s">
        <v>16</v>
      </c>
      <c r="O14" t="s">
        <v>17</v>
      </c>
    </row>
    <row r="15" spans="2:19" x14ac:dyDescent="0.35">
      <c r="B15" s="14" t="str">
        <f>Projects!B12</f>
        <v>Recon 1 - Increase Cap</v>
      </c>
      <c r="C15" s="15" t="str">
        <f>Projects!C12</f>
        <v>Capacity (load)</v>
      </c>
      <c r="D15" s="15">
        <f>Projects!D12</f>
        <v>75</v>
      </c>
      <c r="E15" s="15">
        <f>Projects!E12</f>
        <v>75</v>
      </c>
      <c r="F15" s="19">
        <f>Projects!F12</f>
        <v>18750000</v>
      </c>
      <c r="G15" s="15">
        <f>Projects!G12</f>
        <v>30</v>
      </c>
      <c r="H15" s="15">
        <f>Projects!H12</f>
        <v>50</v>
      </c>
      <c r="I15" s="16">
        <f>Projects!I12</f>
        <v>2000</v>
      </c>
      <c r="J15" s="16">
        <f>Projects!J12</f>
        <v>2500</v>
      </c>
      <c r="K15">
        <f>(I15*G15+ (H15-G15)*J15)/H15</f>
        <v>2200</v>
      </c>
      <c r="L15" s="20">
        <f>ANBC*E15*I15</f>
        <v>33651709.401709408</v>
      </c>
      <c r="M15" s="20">
        <f>L15+F15*(1+WACC)^-G15</f>
        <v>37413784.693989784</v>
      </c>
      <c r="N15" s="2">
        <f t="shared" ref="N15:N19" si="2">M15/(E15*K15)</f>
        <v>226.75021026660474</v>
      </c>
      <c r="O15" s="5">
        <f>WACC/(1-(1+WACC)^-H15)*N15</f>
        <v>13.392196234044835</v>
      </c>
    </row>
    <row r="16" spans="2:19" x14ac:dyDescent="0.35">
      <c r="B16" s="14" t="str">
        <f>Projects!B13</f>
        <v>Recon 2 - Life Extension</v>
      </c>
      <c r="C16" s="15" t="str">
        <f>Projects!C13</f>
        <v>Life (non-load)</v>
      </c>
      <c r="D16" s="15">
        <f>Projects!D13</f>
        <v>50</v>
      </c>
      <c r="E16" s="15">
        <f>Projects!E13</f>
        <v>50</v>
      </c>
      <c r="F16" s="19">
        <f>Projects!F13</f>
        <v>7500000</v>
      </c>
      <c r="G16" s="15">
        <f>Projects!G13</f>
        <v>40</v>
      </c>
      <c r="H16" s="15">
        <f>Projects!H13</f>
        <v>70</v>
      </c>
      <c r="I16" s="16">
        <f>Projects!I13</f>
        <v>1750</v>
      </c>
      <c r="J16" s="16">
        <f>Projects!J13</f>
        <v>1750</v>
      </c>
      <c r="K16">
        <f t="shared" ref="K16:K19" si="3">(I16*G16+ (H16-G16)*J16)/H16</f>
        <v>1750</v>
      </c>
      <c r="L16" s="20">
        <f>ANBC*E16*I16</f>
        <v>19630163.817663819</v>
      </c>
      <c r="M16" s="20">
        <f>L16+F16*(1+WACC)^-G16</f>
        <v>20511137.384947814</v>
      </c>
      <c r="N16" s="2">
        <f t="shared" si="2"/>
        <v>234.41299868511788</v>
      </c>
      <c r="O16" s="5">
        <f>WACC/(1-(1+WACC)^-H16)*N16</f>
        <v>13.203908289871963</v>
      </c>
    </row>
    <row r="17" spans="2:15" x14ac:dyDescent="0.35">
      <c r="B17" s="14" t="str">
        <f>Projects!B14</f>
        <v>Recon 3 - Cap &amp; Life Increase</v>
      </c>
      <c r="C17" s="15" t="str">
        <f>Projects!C14</f>
        <v>Life (non-load)</v>
      </c>
      <c r="D17" s="15">
        <f>Projects!D14</f>
        <v>350</v>
      </c>
      <c r="E17" s="15">
        <f>Projects!E14</f>
        <v>350</v>
      </c>
      <c r="F17" s="19">
        <f>Projects!F14</f>
        <v>61250000</v>
      </c>
      <c r="G17" s="15">
        <f>Projects!G14</f>
        <v>45</v>
      </c>
      <c r="H17" s="15">
        <f>Projects!H14</f>
        <v>70</v>
      </c>
      <c r="I17" s="16">
        <f>Projects!I14</f>
        <v>2750</v>
      </c>
      <c r="J17" s="16">
        <f>Projects!J14</f>
        <v>3150</v>
      </c>
      <c r="K17">
        <f t="shared" si="3"/>
        <v>2892.8571428571427</v>
      </c>
      <c r="L17" s="20">
        <f>ANBC*E17*I17</f>
        <v>215931801.994302</v>
      </c>
      <c r="M17" s="20">
        <f>L17+F17*(1+WACC)^-G17</f>
        <v>221436650.98039949</v>
      </c>
      <c r="N17" s="2">
        <f t="shared" si="2"/>
        <v>218.70286516582669</v>
      </c>
      <c r="O17" s="5">
        <f>WACC/(1-(1+WACC)^-H17)*N17</f>
        <v>12.318995066740477</v>
      </c>
    </row>
    <row r="18" spans="2:15" x14ac:dyDescent="0.35">
      <c r="B18" s="14" t="str">
        <f>Projects!B15</f>
        <v>Recon 4 - Cap &amp; Life Increase</v>
      </c>
      <c r="C18" s="15" t="str">
        <f>Projects!C15</f>
        <v>Capacity (load)</v>
      </c>
      <c r="D18" s="15">
        <f>Projects!D15</f>
        <v>100</v>
      </c>
      <c r="E18" s="15">
        <f>Projects!E15</f>
        <v>100</v>
      </c>
      <c r="F18" s="19">
        <f>Projects!F15</f>
        <v>26500000</v>
      </c>
      <c r="G18" s="15">
        <f>Projects!G15</f>
        <v>40</v>
      </c>
      <c r="H18" s="15">
        <f>Projects!H15</f>
        <v>70</v>
      </c>
      <c r="I18" s="16">
        <f>Projects!I15</f>
        <v>1500</v>
      </c>
      <c r="J18" s="16">
        <f>Projects!J15</f>
        <v>2800</v>
      </c>
      <c r="K18">
        <f t="shared" si="3"/>
        <v>2057.1428571428573</v>
      </c>
      <c r="L18" s="20">
        <f>ANBC*E18*I18</f>
        <v>33651709.4017094</v>
      </c>
      <c r="M18" s="20">
        <f>L18+F18*(1+WACC)^-G18</f>
        <v>36764482.672779515</v>
      </c>
      <c r="N18" s="2">
        <f t="shared" si="2"/>
        <v>178.71623521490039</v>
      </c>
      <c r="O18" s="5">
        <f>WACC/(1-(1+WACC)^-H18)*N18</f>
        <v>10.066646444203966</v>
      </c>
    </row>
    <row r="19" spans="2:15" x14ac:dyDescent="0.35">
      <c r="B19" s="14" t="str">
        <f>Projects!B16</f>
        <v>Recon 5 - route change</v>
      </c>
      <c r="C19" s="15" t="str">
        <f>Projects!C16</f>
        <v>Rerouting (load)</v>
      </c>
      <c r="D19" s="15">
        <f>Projects!D16</f>
        <v>25</v>
      </c>
      <c r="E19" s="15">
        <f>Projects!E16</f>
        <v>30</v>
      </c>
      <c r="F19" s="19">
        <f>Projects!F16</f>
        <v>2550000</v>
      </c>
      <c r="G19" s="15">
        <f>Projects!G16</f>
        <v>20</v>
      </c>
      <c r="H19" s="15">
        <f>Projects!H16</f>
        <v>50</v>
      </c>
      <c r="I19" s="16">
        <f>Projects!I16</f>
        <v>2000</v>
      </c>
      <c r="J19" s="16">
        <f>Projects!J16</f>
        <v>2000</v>
      </c>
      <c r="K19">
        <f t="shared" si="3"/>
        <v>2000</v>
      </c>
      <c r="L19" s="20">
        <f>ANBC*E19*I19</f>
        <v>13460683.760683762</v>
      </c>
      <c r="M19" s="20">
        <f>L19+F19*(1+WACC)^-G19</f>
        <v>14334642.617172569</v>
      </c>
      <c r="N19" s="2">
        <f t="shared" si="2"/>
        <v>238.91071028620948</v>
      </c>
      <c r="O19" s="5">
        <f>WACC/(1-(1+WACC)^-H19)*N19</f>
        <v>14.110412999423675</v>
      </c>
    </row>
    <row r="20" spans="2:15" x14ac:dyDescent="0.35">
      <c r="B20" s="14"/>
      <c r="C20" s="14"/>
      <c r="D20" s="14"/>
      <c r="E20" s="14"/>
      <c r="F20" s="18"/>
      <c r="G20" s="14"/>
      <c r="H20" s="14"/>
      <c r="I20" s="14"/>
      <c r="J20" s="14"/>
      <c r="L20" s="20"/>
      <c r="M20" s="20"/>
    </row>
    <row r="21" spans="2:15" x14ac:dyDescent="0.35">
      <c r="B21" s="14"/>
      <c r="C21" s="14"/>
      <c r="D21" s="14"/>
      <c r="E21" s="14"/>
      <c r="F21" s="18"/>
      <c r="G21" s="14"/>
      <c r="H21" s="14"/>
      <c r="I21" s="14"/>
      <c r="J21" s="14"/>
      <c r="L21" s="20"/>
      <c r="M21" s="20"/>
    </row>
    <row r="22" spans="2:15" x14ac:dyDescent="0.35">
      <c r="B22" s="13" t="str">
        <f>Projects!B19</f>
        <v>Non-circuit</v>
      </c>
      <c r="C22" s="13"/>
      <c r="D22" s="14"/>
      <c r="E22" s="14"/>
      <c r="F22" s="18"/>
      <c r="G22" s="14"/>
      <c r="H22" s="14"/>
      <c r="I22" s="14"/>
      <c r="J22" s="14"/>
      <c r="L22" s="20"/>
      <c r="M22" s="20"/>
    </row>
    <row r="23" spans="2:15" x14ac:dyDescent="0.35">
      <c r="B23" s="14"/>
      <c r="C23" s="14" t="str">
        <f>Projects!C20</f>
        <v>Primary Driver</v>
      </c>
      <c r="D23" s="14" t="str">
        <f>Projects!D20</f>
        <v>Initial Length (km)</v>
      </c>
      <c r="E23" s="14" t="str">
        <f>Projects!E20</f>
        <v>New Length (km)</v>
      </c>
      <c r="F23" s="18" t="str">
        <f>Projects!F20</f>
        <v>Capital Cost (£)</v>
      </c>
      <c r="G23" s="14" t="str">
        <f>Projects!G20</f>
        <v>Time from initial build (years)</v>
      </c>
      <c r="H23" s="14" t="str">
        <f>Projects!H20</f>
        <v>New life (years)</v>
      </c>
      <c r="I23" s="14" t="str">
        <f>Projects!I20</f>
        <v>Initial Capacity (MVA)</v>
      </c>
      <c r="J23" s="14" t="str">
        <f>Projects!J20</f>
        <v>New Capacity (MVA)</v>
      </c>
      <c r="K23" t="s">
        <v>20</v>
      </c>
      <c r="L23" s="20" t="s">
        <v>14</v>
      </c>
      <c r="M23" s="20" t="s">
        <v>15</v>
      </c>
      <c r="N23" t="s">
        <v>16</v>
      </c>
      <c r="O23" t="s">
        <v>17</v>
      </c>
    </row>
    <row r="24" spans="2:15" x14ac:dyDescent="0.35">
      <c r="B24" s="14" t="str">
        <f>Projects!B21</f>
        <v>Sub 1 - Increase Cap</v>
      </c>
      <c r="C24" s="15" t="str">
        <f>Projects!C21</f>
        <v>Capacity (load)</v>
      </c>
      <c r="D24" s="15">
        <f>Projects!D21</f>
        <v>1</v>
      </c>
      <c r="E24" s="15">
        <f>Projects!E21</f>
        <v>1</v>
      </c>
      <c r="F24" s="19">
        <f>Projects!F21</f>
        <v>500000</v>
      </c>
      <c r="G24" s="15">
        <f>Projects!G21</f>
        <v>30</v>
      </c>
      <c r="H24" s="15">
        <f>Projects!H21</f>
        <v>50</v>
      </c>
      <c r="I24" s="16">
        <f>Projects!I21</f>
        <v>2000</v>
      </c>
      <c r="J24" s="16">
        <f>Projects!J21</f>
        <v>2100</v>
      </c>
      <c r="K24">
        <f>(I24*G24+ (H24-G24)*J24)/H24</f>
        <v>2040</v>
      </c>
      <c r="L24" s="20">
        <f>ANBC*E24*I24</f>
        <v>448689.45868945873</v>
      </c>
      <c r="M24" s="20">
        <f>L24+F24*(1+WACC)^-G24</f>
        <v>549011.46648360207</v>
      </c>
      <c r="N24" s="2">
        <f t="shared" ref="N24:N28" si="4">M24/(E24*K24)</f>
        <v>269.12326788411866</v>
      </c>
      <c r="O24" s="5">
        <f>WACC/(1-(1+WACC)^-H24)*N24</f>
        <v>15.894810463081386</v>
      </c>
    </row>
    <row r="25" spans="2:15" x14ac:dyDescent="0.35">
      <c r="B25" s="14" t="str">
        <f>Projects!B22</f>
        <v>Sub 2 - Life Extension</v>
      </c>
      <c r="C25" s="15" t="str">
        <f>Projects!C22</f>
        <v>Life (non-load)</v>
      </c>
      <c r="D25" s="15">
        <f>Projects!D22</f>
        <v>1</v>
      </c>
      <c r="E25" s="15">
        <f>Projects!E22</f>
        <v>1</v>
      </c>
      <c r="F25" s="19">
        <f>Projects!F22</f>
        <v>1000000</v>
      </c>
      <c r="G25" s="15">
        <f>Projects!G22</f>
        <v>40</v>
      </c>
      <c r="H25" s="15">
        <f>Projects!H22</f>
        <v>70</v>
      </c>
      <c r="I25" s="16">
        <f>Projects!I22</f>
        <v>1750</v>
      </c>
      <c r="J25" s="16">
        <f>Projects!J22</f>
        <v>1750</v>
      </c>
      <c r="K25">
        <f t="shared" ref="K25:K28" si="5">(I25*G25+ (H25-G25)*J25)/H25</f>
        <v>1750</v>
      </c>
      <c r="L25" s="20">
        <f>ANBC*E25*I25</f>
        <v>392603.27635327639</v>
      </c>
      <c r="M25" s="20">
        <f>L25+F25*(1+WACC)^-G25</f>
        <v>510066.41865780891</v>
      </c>
      <c r="N25" s="2">
        <f t="shared" si="4"/>
        <v>291.46652494731939</v>
      </c>
      <c r="O25" s="5">
        <f>WACC/(1-(1+WACC)^-H25)*N25</f>
        <v>16.417593250200643</v>
      </c>
    </row>
    <row r="26" spans="2:15" x14ac:dyDescent="0.35">
      <c r="B26" s="14" t="str">
        <f>Projects!B23</f>
        <v>Sub 3 - Cap &amp; Life Increase</v>
      </c>
      <c r="C26" s="15" t="str">
        <f>Projects!C23</f>
        <v>Life (non-load)</v>
      </c>
      <c r="D26" s="15">
        <f>Projects!D23</f>
        <v>1</v>
      </c>
      <c r="E26" s="15">
        <f>Projects!E23</f>
        <v>1</v>
      </c>
      <c r="F26" s="19">
        <f>Projects!F23</f>
        <v>2000000</v>
      </c>
      <c r="G26" s="15">
        <f>Projects!G23</f>
        <v>45</v>
      </c>
      <c r="H26" s="15">
        <f>Projects!H23</f>
        <v>70</v>
      </c>
      <c r="I26" s="16">
        <f>Projects!I23</f>
        <v>900</v>
      </c>
      <c r="J26" s="16">
        <f>Projects!J23</f>
        <v>1500</v>
      </c>
      <c r="K26">
        <f t="shared" si="5"/>
        <v>1114.2857142857142</v>
      </c>
      <c r="L26" s="20">
        <f>ANBC*E26*I26</f>
        <v>201910.25641025644</v>
      </c>
      <c r="M26" s="20">
        <f>L26+F26*(1+WACC)^-G26</f>
        <v>381660.42738486838</v>
      </c>
      <c r="N26" s="2">
        <f t="shared" si="4"/>
        <v>342.51576816590756</v>
      </c>
      <c r="O26" s="5">
        <f>WACC/(1-(1+WACC)^-H26)*N26</f>
        <v>19.293071698522713</v>
      </c>
    </row>
    <row r="27" spans="2:15" x14ac:dyDescent="0.35">
      <c r="B27" s="14" t="str">
        <f>Projects!B24</f>
        <v>Sub 4 - Cap &amp; Life Increase</v>
      </c>
      <c r="C27" s="15" t="str">
        <f>Projects!C24</f>
        <v>Capacity (load)</v>
      </c>
      <c r="D27" s="15">
        <f>Projects!D24</f>
        <v>1</v>
      </c>
      <c r="E27" s="15">
        <f>Projects!E24</f>
        <v>1</v>
      </c>
      <c r="F27" s="19">
        <f>Projects!F24</f>
        <v>10500000</v>
      </c>
      <c r="G27" s="15">
        <f>Projects!G24</f>
        <v>40</v>
      </c>
      <c r="H27" s="15">
        <f>Projects!H24</f>
        <v>80</v>
      </c>
      <c r="I27" s="16">
        <f>Projects!I24</f>
        <v>1000</v>
      </c>
      <c r="J27" s="16">
        <f>Projects!J24</f>
        <v>2200</v>
      </c>
      <c r="K27">
        <f t="shared" si="5"/>
        <v>1600</v>
      </c>
      <c r="L27" s="20">
        <f>ANBC*E27*I27</f>
        <v>224344.72934472936</v>
      </c>
      <c r="M27" s="20">
        <f>L27+F27*(1+WACC)^-G27</f>
        <v>1457707.7235423205</v>
      </c>
      <c r="N27" s="2">
        <f t="shared" si="4"/>
        <v>911.06732721395031</v>
      </c>
      <c r="O27" s="5">
        <f>WACC/(1-(1+WACC)^-H27)*N27</f>
        <v>50.809755156254489</v>
      </c>
    </row>
    <row r="28" spans="2:15" x14ac:dyDescent="0.35">
      <c r="B28" s="14" t="str">
        <f>Projects!B25</f>
        <v>Sub 5 - New Build</v>
      </c>
      <c r="C28" s="15" t="str">
        <f>Projects!C25</f>
        <v>Capacity (load)</v>
      </c>
      <c r="D28" s="15">
        <f>Projects!D25</f>
        <v>1</v>
      </c>
      <c r="E28" s="15">
        <f>Projects!E25</f>
        <v>1</v>
      </c>
      <c r="F28" s="19">
        <f>Projects!F25</f>
        <v>30000000</v>
      </c>
      <c r="G28" s="15">
        <f>Projects!G25</f>
        <v>0</v>
      </c>
      <c r="H28" s="15">
        <f>Projects!H25</f>
        <v>50</v>
      </c>
      <c r="I28" s="16">
        <f>Projects!I25</f>
        <v>0</v>
      </c>
      <c r="J28" s="16">
        <f>Projects!J25</f>
        <v>2200</v>
      </c>
      <c r="K28">
        <f t="shared" si="5"/>
        <v>2200</v>
      </c>
      <c r="L28" s="20">
        <v>0</v>
      </c>
      <c r="M28" s="20">
        <f>L28+F28*(1+WACC)^-G28</f>
        <v>30000000</v>
      </c>
      <c r="N28" s="2">
        <f t="shared" si="4"/>
        <v>13636.363636363636</v>
      </c>
      <c r="O28" s="5">
        <f>WACC/(1-(1+WACC)^-H28)*N28</f>
        <v>805.3834107684221</v>
      </c>
    </row>
    <row r="31" spans="2:15" x14ac:dyDescent="0.35">
      <c r="B31" s="27" t="s">
        <v>71</v>
      </c>
      <c r="C31" s="28" t="s">
        <v>91</v>
      </c>
      <c r="D31" s="29" t="s">
        <v>67</v>
      </c>
    </row>
    <row r="32" spans="2:15" x14ac:dyDescent="0.35">
      <c r="B32" s="22" t="s">
        <v>79</v>
      </c>
      <c r="C32" s="25" t="s">
        <v>72</v>
      </c>
      <c r="D32" s="30" t="s">
        <v>97</v>
      </c>
    </row>
    <row r="33" spans="2:8" x14ac:dyDescent="0.35">
      <c r="B33" s="22" t="s">
        <v>73</v>
      </c>
      <c r="C33" s="25" t="s">
        <v>85</v>
      </c>
      <c r="D33" s="23">
        <f>(SUMPRODUCT(O7:O10, E7:E10)) / SUM(E7:E10)</f>
        <v>13.25012504255562</v>
      </c>
      <c r="G33" t="s">
        <v>19</v>
      </c>
      <c r="H33" s="6">
        <f>(SUMPRODUCT(O7:O10, E7:E10) +SUMPRODUCT(O15:O17,E15:E17)) / SUM(E7:E10, E15:E17)</f>
        <v>12.716425900021516</v>
      </c>
    </row>
    <row r="34" spans="2:8" x14ac:dyDescent="0.35">
      <c r="B34" s="24" t="s">
        <v>75</v>
      </c>
      <c r="C34" s="23" t="s">
        <v>87</v>
      </c>
      <c r="D34" s="23">
        <f>(SUMPRODUCT(O7:O10, E7:E10) +SUMPRODUCT(O15,E15)+SUMPRODUCT(O18:O19,E18:E19)) / SUM(E7:E10, E15,E18:E19)</f>
        <v>12.382790021732751</v>
      </c>
      <c r="H34" s="6"/>
    </row>
    <row r="35" spans="2:8" x14ac:dyDescent="0.35">
      <c r="B35" s="24" t="s">
        <v>76</v>
      </c>
      <c r="C35" s="23" t="s">
        <v>88</v>
      </c>
      <c r="D35" s="23">
        <f>(SUMPRODUCT(O7:O10, E7:E10) +SUMPRODUCT(O16:O17,E16:E17)) / SUM(E7:E10, E16:E17)</f>
        <v>12.618959024922001</v>
      </c>
    </row>
    <row r="36" spans="2:8" x14ac:dyDescent="0.35">
      <c r="B36" s="24" t="s">
        <v>77</v>
      </c>
      <c r="C36" s="23" t="s">
        <v>89</v>
      </c>
      <c r="D36" s="23">
        <f>(SUMPRODUCT(O7:O10, E7:E10) +SUMPRODUCT(O28,E28)) / SUM(E7:E10, E28)</f>
        <v>19.796681122934682</v>
      </c>
    </row>
    <row r="37" spans="2:8" x14ac:dyDescent="0.35">
      <c r="B37" s="24" t="s">
        <v>78</v>
      </c>
      <c r="C37" s="25" t="s">
        <v>90</v>
      </c>
      <c r="D37" s="23">
        <f>(SUMPRODUCT(O7:O10, E7:E10) +SUMPRODUCT(O15:O19,E15:E19)) / SUM(E7:E10, E15:E19)</f>
        <v>12.408621303332289</v>
      </c>
    </row>
    <row r="38" spans="2:8" x14ac:dyDescent="0.35">
      <c r="B38" s="24" t="s">
        <v>96</v>
      </c>
      <c r="C38" s="25" t="s">
        <v>92</v>
      </c>
      <c r="D38" s="23">
        <f>(SUMPRODUCT(O7:O10, E7:E10) +SUMPRODUCT(O18:O19,E18:E19)+SUMPRODUCT(O27:O28,E27:E28)+SUMPRODUCT(O15,E15)+SUMPRODUCT(O24,E24)) / SUM(E7:E10, E18:E19,E27:E28,E15,E24)</f>
        <v>14.928337601984456</v>
      </c>
    </row>
    <row r="39" spans="2:8" x14ac:dyDescent="0.35">
      <c r="B39" s="24" t="s">
        <v>95</v>
      </c>
      <c r="C39" s="25" t="s">
        <v>93</v>
      </c>
      <c r="D39" s="23">
        <f>(SUMPRODUCT(O7:O10, E7:E10) +SUMPRODUCT(O16:O17,E16:E17)+SUMPRODUCT(O25:O26,E25:E26)) / SUM(E7:E10, E16:E17,E25:E26)</f>
        <v>12.639021758444757</v>
      </c>
    </row>
    <row r="40" spans="2:8" x14ac:dyDescent="0.35">
      <c r="B40" s="24" t="s">
        <v>82</v>
      </c>
      <c r="C40" s="25" t="s">
        <v>94</v>
      </c>
      <c r="D40" s="23">
        <f>(SUMPRODUCT(O7:O10, E7:E10) +SUMPRODUCT(O15:O19,E15:E19)+SUMPRODUCT(O24:O28,E24:E28)) / SUM(E7:E10, E15:E19,E24:E28)</f>
        <v>13.567190529112864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5AFF6-75C7-4DE5-978B-4EE783FC46F5}">
  <dimension ref="B5:J40"/>
  <sheetViews>
    <sheetView workbookViewId="0">
      <selection activeCell="D31" sqref="D31"/>
    </sheetView>
  </sheetViews>
  <sheetFormatPr defaultRowHeight="14.5" x14ac:dyDescent="0.35"/>
  <sheetData>
    <row r="5" spans="2:10" x14ac:dyDescent="0.35">
      <c r="B5" s="13" t="str">
        <f>Projects!B2</f>
        <v>New Build Circuits</v>
      </c>
      <c r="C5" s="13"/>
      <c r="D5" s="13"/>
      <c r="E5" s="14"/>
      <c r="F5" s="18"/>
      <c r="G5" s="14"/>
      <c r="H5" s="14"/>
      <c r="I5" s="14"/>
      <c r="J5" s="14"/>
    </row>
    <row r="6" spans="2:10" x14ac:dyDescent="0.35">
      <c r="B6" s="14"/>
      <c r="C6" s="14" t="str">
        <f>Projects!C3</f>
        <v>Primary Driver</v>
      </c>
      <c r="D6" s="14" t="str">
        <f>Projects!D3</f>
        <v>Initial Length (km)</v>
      </c>
      <c r="E6" s="14" t="str">
        <f>Projects!E3</f>
        <v>New Length (km)</v>
      </c>
      <c r="F6" s="18" t="str">
        <f>Projects!F3</f>
        <v>Capital Cost (£)</v>
      </c>
      <c r="G6" s="14" t="str">
        <f>Projects!G3</f>
        <v>Time from initial build (years)</v>
      </c>
      <c r="H6" s="14" t="str">
        <f>Projects!H3</f>
        <v>Life( years)</v>
      </c>
      <c r="I6" s="14" t="str">
        <f>Projects!I3</f>
        <v>Initial Capacity (MVA)</v>
      </c>
      <c r="J6" s="14" t="str">
        <f>Projects!J3</f>
        <v>New Capacity (MVA)</v>
      </c>
    </row>
    <row r="7" spans="2:10" x14ac:dyDescent="0.35">
      <c r="B7" s="14" t="str">
        <f>Projects!B4</f>
        <v>NB1</v>
      </c>
      <c r="C7" s="15" t="str">
        <f>Projects!C4</f>
        <v>Capacity (load)</v>
      </c>
      <c r="D7" s="16">
        <f>Projects!D4</f>
        <v>0</v>
      </c>
      <c r="E7" s="16">
        <f>Projects!E4</f>
        <v>10</v>
      </c>
      <c r="F7" s="19">
        <f>Projects!F4</f>
        <v>5000000</v>
      </c>
      <c r="G7" s="15">
        <f>Projects!G4</f>
        <v>0</v>
      </c>
      <c r="H7" s="16">
        <f>Projects!H4</f>
        <v>50</v>
      </c>
      <c r="I7" s="16">
        <f>Projects!I4</f>
        <v>0</v>
      </c>
      <c r="J7" s="16">
        <f>Projects!J4</f>
        <v>2000</v>
      </c>
    </row>
    <row r="8" spans="2:10" x14ac:dyDescent="0.35">
      <c r="B8" s="14" t="str">
        <f>Projects!B5</f>
        <v>NB2</v>
      </c>
      <c r="C8" s="15" t="str">
        <f>Projects!C5</f>
        <v>Capacity (load)</v>
      </c>
      <c r="D8" s="16">
        <f>Projects!D5</f>
        <v>0</v>
      </c>
      <c r="E8" s="16">
        <f>Projects!E5</f>
        <v>20</v>
      </c>
      <c r="F8" s="19">
        <f>Projects!F5</f>
        <v>11000000</v>
      </c>
      <c r="G8" s="15">
        <f>Projects!G5</f>
        <v>0</v>
      </c>
      <c r="H8" s="16">
        <f>Projects!H5</f>
        <v>50</v>
      </c>
      <c r="I8" s="16">
        <f>Projects!I5</f>
        <v>0</v>
      </c>
      <c r="J8" s="16">
        <f>Projects!J5</f>
        <v>2500</v>
      </c>
    </row>
    <row r="9" spans="2:10" x14ac:dyDescent="0.35">
      <c r="B9" s="14" t="str">
        <f>Projects!B6</f>
        <v>NB3</v>
      </c>
      <c r="C9" s="15" t="str">
        <f>Projects!C6</f>
        <v>Capacity (load)</v>
      </c>
      <c r="D9" s="16">
        <f>Projects!D6</f>
        <v>0</v>
      </c>
      <c r="E9" s="16">
        <f>Projects!E6</f>
        <v>15</v>
      </c>
      <c r="F9" s="19">
        <f>Projects!F6</f>
        <v>8625000</v>
      </c>
      <c r="G9" s="15">
        <f>Projects!G6</f>
        <v>0</v>
      </c>
      <c r="H9" s="16">
        <f>Projects!H6</f>
        <v>50</v>
      </c>
      <c r="I9" s="16">
        <f>Projects!I6</f>
        <v>0</v>
      </c>
      <c r="J9" s="16">
        <f>Projects!J6</f>
        <v>2700</v>
      </c>
    </row>
    <row r="10" spans="2:10" x14ac:dyDescent="0.35">
      <c r="B10" s="14" t="str">
        <f>Projects!B7</f>
        <v>NB4</v>
      </c>
      <c r="C10" s="15" t="str">
        <f>Projects!C7</f>
        <v>Capacity (load)</v>
      </c>
      <c r="D10" s="16">
        <f>Projects!D7</f>
        <v>0</v>
      </c>
      <c r="E10" s="16">
        <f>Projects!E7</f>
        <v>75</v>
      </c>
      <c r="F10" s="19">
        <f>Projects!F7</f>
        <v>52500000</v>
      </c>
      <c r="G10" s="15">
        <f>Projects!G7</f>
        <v>0</v>
      </c>
      <c r="H10" s="16">
        <f>Projects!H7</f>
        <v>50</v>
      </c>
      <c r="I10" s="16">
        <f>Projects!I7</f>
        <v>0</v>
      </c>
      <c r="J10" s="16">
        <f>Projects!J7</f>
        <v>3120</v>
      </c>
    </row>
    <row r="11" spans="2:10" x14ac:dyDescent="0.35">
      <c r="B11" s="14"/>
      <c r="C11" s="14"/>
      <c r="D11" s="17"/>
      <c r="E11" s="17"/>
      <c r="F11" s="18"/>
      <c r="G11" s="17"/>
      <c r="H11" s="17"/>
      <c r="I11" s="17"/>
      <c r="J11" s="14"/>
    </row>
    <row r="12" spans="2:10" x14ac:dyDescent="0.35">
      <c r="B12" s="14"/>
      <c r="C12" s="14"/>
      <c r="D12" s="14"/>
      <c r="E12" s="14"/>
      <c r="F12" s="18"/>
      <c r="G12" s="14"/>
      <c r="H12" s="14"/>
      <c r="I12" s="14"/>
      <c r="J12" s="14"/>
    </row>
    <row r="13" spans="2:10" x14ac:dyDescent="0.35">
      <c r="B13" s="13" t="str">
        <f>Projects!B10</f>
        <v>Enhancement of existing circuits</v>
      </c>
      <c r="C13" s="13"/>
      <c r="D13" s="14"/>
      <c r="E13" s="14"/>
      <c r="F13" s="18"/>
      <c r="G13" s="14"/>
      <c r="H13" s="14"/>
      <c r="I13" s="14"/>
      <c r="J13" s="14"/>
    </row>
    <row r="14" spans="2:10" x14ac:dyDescent="0.35">
      <c r="B14" s="14"/>
      <c r="C14" s="14" t="str">
        <f>Projects!C11</f>
        <v>Primary Driver</v>
      </c>
      <c r="D14" s="14" t="str">
        <f>Projects!D11</f>
        <v>Initial Length (km)</v>
      </c>
      <c r="E14" s="14" t="str">
        <f>Projects!E11</f>
        <v>New Length (km)</v>
      </c>
      <c r="F14" s="18" t="str">
        <f>Projects!F11</f>
        <v>Capital Cost (£)</v>
      </c>
      <c r="G14" s="14" t="str">
        <f>Projects!G11</f>
        <v>Time from initial build (years)</v>
      </c>
      <c r="H14" s="14" t="str">
        <f>Projects!H11</f>
        <v>New life (years)</v>
      </c>
      <c r="I14" s="14" t="str">
        <f>Projects!I11</f>
        <v>Initial Capacity (MVA)</v>
      </c>
      <c r="J14" s="14" t="str">
        <f>Projects!J11</f>
        <v>New Capacity (MVA)</v>
      </c>
    </row>
    <row r="15" spans="2:10" x14ac:dyDescent="0.35">
      <c r="B15" s="14" t="str">
        <f>Projects!B12</f>
        <v>Recon 1 - Increase Cap</v>
      </c>
      <c r="C15" s="15" t="str">
        <f>Projects!C12</f>
        <v>Capacity (load)</v>
      </c>
      <c r="D15" s="15">
        <f>Projects!D12</f>
        <v>75</v>
      </c>
      <c r="E15" s="15">
        <f>Projects!E12</f>
        <v>75</v>
      </c>
      <c r="F15" s="19">
        <f>Projects!F12</f>
        <v>18750000</v>
      </c>
      <c r="G15" s="15">
        <f>Projects!G12</f>
        <v>30</v>
      </c>
      <c r="H15" s="15">
        <f>Projects!H12</f>
        <v>50</v>
      </c>
      <c r="I15" s="16">
        <f>Projects!I12</f>
        <v>2000</v>
      </c>
      <c r="J15" s="16">
        <f>Projects!J12</f>
        <v>2500</v>
      </c>
    </row>
    <row r="16" spans="2:10" x14ac:dyDescent="0.35">
      <c r="B16" s="14" t="str">
        <f>Projects!B13</f>
        <v>Recon 2 - Life Extension</v>
      </c>
      <c r="C16" s="15" t="str">
        <f>Projects!C13</f>
        <v>Life (non-load)</v>
      </c>
      <c r="D16" s="15">
        <f>Projects!D13</f>
        <v>50</v>
      </c>
      <c r="E16" s="15">
        <f>Projects!E13</f>
        <v>50</v>
      </c>
      <c r="F16" s="19">
        <f>Projects!F13</f>
        <v>7500000</v>
      </c>
      <c r="G16" s="15">
        <f>Projects!G13</f>
        <v>40</v>
      </c>
      <c r="H16" s="15">
        <f>Projects!H13</f>
        <v>70</v>
      </c>
      <c r="I16" s="16">
        <f>Projects!I13</f>
        <v>1750</v>
      </c>
      <c r="J16" s="16">
        <f>Projects!J13</f>
        <v>1750</v>
      </c>
    </row>
    <row r="17" spans="2:10" x14ac:dyDescent="0.35">
      <c r="B17" s="14" t="str">
        <f>Projects!B14</f>
        <v>Recon 3 - Cap &amp; Life Increase</v>
      </c>
      <c r="C17" s="15" t="str">
        <f>Projects!C14</f>
        <v>Life (non-load)</v>
      </c>
      <c r="D17" s="15">
        <f>Projects!D14</f>
        <v>350</v>
      </c>
      <c r="E17" s="15">
        <f>Projects!E14</f>
        <v>350</v>
      </c>
      <c r="F17" s="19">
        <f>Projects!F14</f>
        <v>61250000</v>
      </c>
      <c r="G17" s="15">
        <f>Projects!G14</f>
        <v>45</v>
      </c>
      <c r="H17" s="15">
        <f>Projects!H14</f>
        <v>70</v>
      </c>
      <c r="I17" s="16">
        <f>Projects!I14</f>
        <v>2750</v>
      </c>
      <c r="J17" s="16">
        <f>Projects!J14</f>
        <v>3150</v>
      </c>
    </row>
    <row r="18" spans="2:10" x14ac:dyDescent="0.35">
      <c r="B18" s="14" t="str">
        <f>Projects!B15</f>
        <v>Recon 4 - Cap &amp; Life Increase</v>
      </c>
      <c r="C18" s="15" t="str">
        <f>Projects!C15</f>
        <v>Capacity (load)</v>
      </c>
      <c r="D18" s="15">
        <f>Projects!D15</f>
        <v>100</v>
      </c>
      <c r="E18" s="15">
        <f>Projects!E15</f>
        <v>100</v>
      </c>
      <c r="F18" s="19">
        <f>Projects!F15</f>
        <v>26500000</v>
      </c>
      <c r="G18" s="15">
        <f>Projects!G15</f>
        <v>40</v>
      </c>
      <c r="H18" s="15">
        <f>Projects!H15</f>
        <v>70</v>
      </c>
      <c r="I18" s="16">
        <f>Projects!I15</f>
        <v>1500</v>
      </c>
      <c r="J18" s="16">
        <f>Projects!J15</f>
        <v>2800</v>
      </c>
    </row>
    <row r="19" spans="2:10" x14ac:dyDescent="0.35">
      <c r="B19" s="14" t="str">
        <f>Projects!B16</f>
        <v>Recon 5 - route change</v>
      </c>
      <c r="C19" s="15" t="str">
        <f>Projects!C16</f>
        <v>Rerouting (load)</v>
      </c>
      <c r="D19" s="15">
        <f>Projects!D16</f>
        <v>25</v>
      </c>
      <c r="E19" s="15">
        <f>Projects!E16</f>
        <v>30</v>
      </c>
      <c r="F19" s="19">
        <f>Projects!F16</f>
        <v>2550000</v>
      </c>
      <c r="G19" s="15">
        <f>Projects!G16</f>
        <v>20</v>
      </c>
      <c r="H19" s="15">
        <f>Projects!H16</f>
        <v>50</v>
      </c>
      <c r="I19" s="16">
        <f>Projects!I16</f>
        <v>2000</v>
      </c>
      <c r="J19" s="16">
        <f>Projects!J16</f>
        <v>2000</v>
      </c>
    </row>
    <row r="20" spans="2:10" x14ac:dyDescent="0.35">
      <c r="B20" s="14"/>
      <c r="C20" s="14"/>
      <c r="D20" s="14"/>
      <c r="E20" s="14"/>
      <c r="F20" s="18"/>
      <c r="G20" s="14"/>
      <c r="H20" s="14"/>
      <c r="I20" s="14"/>
      <c r="J20" s="14"/>
    </row>
    <row r="21" spans="2:10" x14ac:dyDescent="0.35">
      <c r="B21" s="14"/>
      <c r="C21" s="14"/>
      <c r="D21" s="14"/>
      <c r="E21" s="14"/>
      <c r="F21" s="18"/>
      <c r="G21" s="14"/>
      <c r="H21" s="14"/>
      <c r="I21" s="14"/>
      <c r="J21" s="14"/>
    </row>
    <row r="22" spans="2:10" x14ac:dyDescent="0.35">
      <c r="B22" s="13" t="str">
        <f>Projects!B19</f>
        <v>Non-circuit</v>
      </c>
      <c r="C22" s="13"/>
      <c r="D22" s="14"/>
      <c r="E22" s="14"/>
      <c r="F22" s="18"/>
      <c r="G22" s="14"/>
      <c r="H22" s="14"/>
      <c r="I22" s="14"/>
      <c r="J22" s="14"/>
    </row>
    <row r="23" spans="2:10" x14ac:dyDescent="0.35">
      <c r="B23" s="14"/>
      <c r="C23" s="14" t="str">
        <f>Projects!C20</f>
        <v>Primary Driver</v>
      </c>
      <c r="D23" s="14" t="str">
        <f>Projects!D20</f>
        <v>Initial Length (km)</v>
      </c>
      <c r="E23" s="14" t="str">
        <f>Projects!E20</f>
        <v>New Length (km)</v>
      </c>
      <c r="F23" s="18" t="str">
        <f>Projects!F20</f>
        <v>Capital Cost (£)</v>
      </c>
      <c r="G23" s="14" t="str">
        <f>Projects!G20</f>
        <v>Time from initial build (years)</v>
      </c>
      <c r="H23" s="14" t="str">
        <f>Projects!H20</f>
        <v>New life (years)</v>
      </c>
      <c r="I23" s="14" t="str">
        <f>Projects!I20</f>
        <v>Initial Capacity (MVA)</v>
      </c>
      <c r="J23" s="14" t="str">
        <f>Projects!J20</f>
        <v>New Capacity (MVA)</v>
      </c>
    </row>
    <row r="24" spans="2:10" x14ac:dyDescent="0.35">
      <c r="B24" s="14" t="str">
        <f>Projects!B21</f>
        <v>Sub 1 - Increase Cap</v>
      </c>
      <c r="C24" s="15" t="str">
        <f>Projects!C21</f>
        <v>Capacity (load)</v>
      </c>
      <c r="D24" s="15">
        <f>Projects!D21</f>
        <v>1</v>
      </c>
      <c r="E24" s="15">
        <f>Projects!E21</f>
        <v>1</v>
      </c>
      <c r="F24" s="19">
        <f>Projects!F21</f>
        <v>500000</v>
      </c>
      <c r="G24" s="15">
        <f>Projects!G21</f>
        <v>30</v>
      </c>
      <c r="H24" s="15">
        <f>Projects!H21</f>
        <v>50</v>
      </c>
      <c r="I24" s="16">
        <f>Projects!I21</f>
        <v>2000</v>
      </c>
      <c r="J24" s="16">
        <f>Projects!J21</f>
        <v>2100</v>
      </c>
    </row>
    <row r="25" spans="2:10" x14ac:dyDescent="0.35">
      <c r="B25" s="14" t="str">
        <f>Projects!B22</f>
        <v>Sub 2 - Life Extension</v>
      </c>
      <c r="C25" s="15" t="str">
        <f>Projects!C22</f>
        <v>Life (non-load)</v>
      </c>
      <c r="D25" s="15">
        <f>Projects!D22</f>
        <v>1</v>
      </c>
      <c r="E25" s="15">
        <f>Projects!E22</f>
        <v>1</v>
      </c>
      <c r="F25" s="19">
        <f>Projects!F22</f>
        <v>1000000</v>
      </c>
      <c r="G25" s="15">
        <f>Projects!G22</f>
        <v>40</v>
      </c>
      <c r="H25" s="15">
        <f>Projects!H22</f>
        <v>70</v>
      </c>
      <c r="I25" s="16">
        <f>Projects!I22</f>
        <v>1750</v>
      </c>
      <c r="J25" s="16">
        <f>Projects!J22</f>
        <v>1750</v>
      </c>
    </row>
    <row r="26" spans="2:10" x14ac:dyDescent="0.35">
      <c r="B26" s="14" t="str">
        <f>Projects!B23</f>
        <v>Sub 3 - Cap &amp; Life Increase</v>
      </c>
      <c r="C26" s="15" t="str">
        <f>Projects!C23</f>
        <v>Life (non-load)</v>
      </c>
      <c r="D26" s="15">
        <f>Projects!D23</f>
        <v>1</v>
      </c>
      <c r="E26" s="15">
        <f>Projects!E23</f>
        <v>1</v>
      </c>
      <c r="F26" s="19">
        <f>Projects!F23</f>
        <v>2000000</v>
      </c>
      <c r="G26" s="15">
        <f>Projects!G23</f>
        <v>45</v>
      </c>
      <c r="H26" s="15">
        <f>Projects!H23</f>
        <v>70</v>
      </c>
      <c r="I26" s="16">
        <f>Projects!I23</f>
        <v>900</v>
      </c>
      <c r="J26" s="16">
        <f>Projects!J23</f>
        <v>1500</v>
      </c>
    </row>
    <row r="27" spans="2:10" x14ac:dyDescent="0.35">
      <c r="B27" s="14" t="str">
        <f>Projects!B24</f>
        <v>Sub 4 - Cap &amp; Life Increase</v>
      </c>
      <c r="C27" s="15" t="str">
        <f>Projects!C24</f>
        <v>Capacity (load)</v>
      </c>
      <c r="D27" s="15">
        <f>Projects!D24</f>
        <v>1</v>
      </c>
      <c r="E27" s="15">
        <f>Projects!E24</f>
        <v>1</v>
      </c>
      <c r="F27" s="19">
        <f>Projects!F24</f>
        <v>10500000</v>
      </c>
      <c r="G27" s="15">
        <f>Projects!G24</f>
        <v>40</v>
      </c>
      <c r="H27" s="15">
        <f>Projects!H24</f>
        <v>80</v>
      </c>
      <c r="I27" s="16">
        <f>Projects!I24</f>
        <v>1000</v>
      </c>
      <c r="J27" s="16">
        <f>Projects!J24</f>
        <v>2200</v>
      </c>
    </row>
    <row r="28" spans="2:10" x14ac:dyDescent="0.35">
      <c r="B28" s="14" t="str">
        <f>Projects!B25</f>
        <v>Sub 5 - New Build</v>
      </c>
      <c r="C28" s="15" t="str">
        <f>Projects!C25</f>
        <v>Capacity (load)</v>
      </c>
      <c r="D28" s="15">
        <f>Projects!D25</f>
        <v>1</v>
      </c>
      <c r="E28" s="15">
        <f>Projects!E25</f>
        <v>1</v>
      </c>
      <c r="F28" s="19">
        <f>Projects!F25</f>
        <v>30000000</v>
      </c>
      <c r="G28" s="15">
        <f>Projects!G25</f>
        <v>0</v>
      </c>
      <c r="H28" s="15">
        <f>Projects!H25</f>
        <v>50</v>
      </c>
      <c r="I28" s="16">
        <f>Projects!I25</f>
        <v>0</v>
      </c>
      <c r="J28" s="16">
        <f>Projects!J25</f>
        <v>2200</v>
      </c>
    </row>
    <row r="31" spans="2:10" x14ac:dyDescent="0.35">
      <c r="B31" s="27" t="s">
        <v>71</v>
      </c>
      <c r="C31" s="28" t="s">
        <v>91</v>
      </c>
      <c r="D31" s="29"/>
    </row>
    <row r="32" spans="2:10" x14ac:dyDescent="0.35">
      <c r="B32" s="22" t="s">
        <v>79</v>
      </c>
      <c r="C32" s="25" t="s">
        <v>72</v>
      </c>
      <c r="D32" s="30" t="s">
        <v>97</v>
      </c>
    </row>
    <row r="33" spans="2:4" x14ac:dyDescent="0.35">
      <c r="B33" s="22" t="s">
        <v>73</v>
      </c>
      <c r="C33" s="25" t="s">
        <v>85</v>
      </c>
      <c r="D33" s="23"/>
    </row>
    <row r="34" spans="2:4" x14ac:dyDescent="0.35">
      <c r="B34" s="24" t="s">
        <v>75</v>
      </c>
      <c r="C34" s="23" t="s">
        <v>87</v>
      </c>
      <c r="D34" s="23"/>
    </row>
    <row r="35" spans="2:4" x14ac:dyDescent="0.35">
      <c r="B35" s="24" t="s">
        <v>76</v>
      </c>
      <c r="C35" s="23" t="s">
        <v>88</v>
      </c>
      <c r="D35" s="23"/>
    </row>
    <row r="36" spans="2:4" x14ac:dyDescent="0.35">
      <c r="B36" s="24" t="s">
        <v>77</v>
      </c>
      <c r="C36" s="23" t="s">
        <v>89</v>
      </c>
      <c r="D36" s="23"/>
    </row>
    <row r="37" spans="2:4" x14ac:dyDescent="0.35">
      <c r="B37" s="24" t="s">
        <v>78</v>
      </c>
      <c r="C37" s="25" t="s">
        <v>90</v>
      </c>
      <c r="D37" s="23"/>
    </row>
    <row r="38" spans="2:4" x14ac:dyDescent="0.35">
      <c r="B38" s="24" t="s">
        <v>96</v>
      </c>
      <c r="C38" s="25" t="s">
        <v>92</v>
      </c>
      <c r="D38" s="23"/>
    </row>
    <row r="39" spans="2:4" x14ac:dyDescent="0.35">
      <c r="B39" s="24" t="s">
        <v>95</v>
      </c>
      <c r="C39" s="25" t="s">
        <v>93</v>
      </c>
      <c r="D39" s="23"/>
    </row>
    <row r="40" spans="2:4" x14ac:dyDescent="0.35">
      <c r="B40" s="24" t="s">
        <v>82</v>
      </c>
      <c r="C40" s="25" t="s">
        <v>94</v>
      </c>
      <c r="D40" s="2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E80E3-1A51-4110-B6D1-0718297E2C9E}">
  <dimension ref="B1:N42"/>
  <sheetViews>
    <sheetView topLeftCell="A16" workbookViewId="0">
      <selection activeCell="D44" sqref="D44"/>
    </sheetView>
  </sheetViews>
  <sheetFormatPr defaultRowHeight="14.5" x14ac:dyDescent="0.35"/>
  <cols>
    <col min="2" max="2" width="52.6328125" bestFit="1" customWidth="1"/>
    <col min="3" max="3" width="31.81640625" bestFit="1" customWidth="1"/>
    <col min="4" max="4" width="17.453125" bestFit="1" customWidth="1"/>
    <col min="5" max="5" width="14.90625" bestFit="1" customWidth="1"/>
    <col min="6" max="6" width="17.54296875" bestFit="1" customWidth="1"/>
    <col min="7" max="7" width="27.81640625" bestFit="1" customWidth="1"/>
    <col min="8" max="8" width="14.54296875" bestFit="1" customWidth="1"/>
    <col min="9" max="9" width="18.81640625" bestFit="1" customWidth="1"/>
    <col min="10" max="10" width="17.90625" bestFit="1" customWidth="1"/>
    <col min="11" max="11" width="19.08984375" bestFit="1" customWidth="1"/>
    <col min="12" max="12" width="19.90625" bestFit="1" customWidth="1"/>
    <col min="13" max="13" width="16" bestFit="1" customWidth="1"/>
  </cols>
  <sheetData>
    <row r="1" spans="2:14" x14ac:dyDescent="0.35"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2:14" x14ac:dyDescent="0.35">
      <c r="C2" s="14"/>
      <c r="D2" s="14"/>
      <c r="E2" s="14"/>
      <c r="F2" s="14"/>
      <c r="G2" s="14"/>
      <c r="H2" s="14"/>
      <c r="I2" s="14"/>
      <c r="J2" s="14"/>
      <c r="K2" s="14"/>
      <c r="L2" s="33" t="s">
        <v>100</v>
      </c>
      <c r="M2" s="14">
        <v>4.0873891652716383E-2</v>
      </c>
      <c r="N2" s="14"/>
    </row>
    <row r="3" spans="2:14" x14ac:dyDescent="0.35">
      <c r="C3" s="14"/>
      <c r="D3" s="14"/>
      <c r="E3" s="14"/>
      <c r="F3" s="14"/>
      <c r="G3" s="14"/>
      <c r="H3" s="14"/>
      <c r="I3" s="14"/>
      <c r="J3" s="14"/>
      <c r="K3" s="14"/>
      <c r="L3" s="33" t="s">
        <v>101</v>
      </c>
      <c r="M3" s="14">
        <v>1.5499673986643658E-2</v>
      </c>
      <c r="N3" s="14"/>
    </row>
    <row r="4" spans="2:14" x14ac:dyDescent="0.3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2:14" x14ac:dyDescent="0.35">
      <c r="B5" s="13" t="str">
        <f>Projects!B2</f>
        <v>New Build Circuits</v>
      </c>
      <c r="C5" s="13"/>
      <c r="D5" s="13"/>
      <c r="E5" s="14"/>
      <c r="F5" s="18"/>
      <c r="G5" s="14"/>
      <c r="H5" s="14"/>
      <c r="I5" s="14"/>
      <c r="J5" s="14"/>
      <c r="K5" s="14"/>
      <c r="L5" s="14"/>
      <c r="M5" s="14"/>
      <c r="N5" s="14"/>
    </row>
    <row r="6" spans="2:14" x14ac:dyDescent="0.35">
      <c r="B6" s="14"/>
      <c r="C6" s="14" t="str">
        <f>Projects!C3</f>
        <v>Primary Driver</v>
      </c>
      <c r="D6" s="14" t="str">
        <f>Projects!D3</f>
        <v>Initial Length (km)</v>
      </c>
      <c r="E6" s="14" t="str">
        <f>Projects!E3</f>
        <v>New Length (km)</v>
      </c>
      <c r="F6" s="18" t="str">
        <f>Projects!F3</f>
        <v>Capital Cost (£)</v>
      </c>
      <c r="G6" s="14" t="str">
        <f>Projects!G3</f>
        <v>Time from initial build (years)</v>
      </c>
      <c r="H6" s="14" t="str">
        <f>Projects!H3</f>
        <v>Life( years)</v>
      </c>
      <c r="I6" s="14" t="str">
        <f>Projects!I3</f>
        <v>Initial Capacity (MVA)</v>
      </c>
      <c r="J6" s="14" t="str">
        <f>Projects!J3</f>
        <v>New Capacity (MVA)</v>
      </c>
      <c r="K6" s="14" t="s">
        <v>99</v>
      </c>
      <c r="L6" s="14" t="s">
        <v>102</v>
      </c>
      <c r="M6" s="34" t="s">
        <v>105</v>
      </c>
      <c r="N6" s="14"/>
    </row>
    <row r="7" spans="2:14" x14ac:dyDescent="0.35">
      <c r="B7" s="14" t="str">
        <f>Projects!B4</f>
        <v>NB1</v>
      </c>
      <c r="C7" s="15" t="str">
        <f>Projects!C4</f>
        <v>Capacity (load)</v>
      </c>
      <c r="D7" s="16">
        <f>Projects!D4</f>
        <v>0</v>
      </c>
      <c r="E7" s="16">
        <f>Projects!E4</f>
        <v>10</v>
      </c>
      <c r="F7" s="19">
        <f>Projects!F4</f>
        <v>5000000</v>
      </c>
      <c r="G7" s="15">
        <f>Projects!G4</f>
        <v>0</v>
      </c>
      <c r="H7" s="16">
        <f>Projects!H4</f>
        <v>50</v>
      </c>
      <c r="I7" s="16">
        <f>Projects!I4</f>
        <v>0</v>
      </c>
      <c r="J7" s="16">
        <f>Projects!J4</f>
        <v>2000</v>
      </c>
      <c r="K7" s="18">
        <f>(F7/J7)/E7</f>
        <v>250</v>
      </c>
      <c r="L7" s="18">
        <f>K7*($M$2+$M$3)</f>
        <v>14.093391409840009</v>
      </c>
      <c r="M7" s="34">
        <f>E7*K7</f>
        <v>2500</v>
      </c>
      <c r="N7" s="14"/>
    </row>
    <row r="8" spans="2:14" x14ac:dyDescent="0.35">
      <c r="B8" s="14" t="str">
        <f>Projects!B5</f>
        <v>NB2</v>
      </c>
      <c r="C8" s="15" t="str">
        <f>Projects!C5</f>
        <v>Capacity (load)</v>
      </c>
      <c r="D8" s="16">
        <f>Projects!D5</f>
        <v>0</v>
      </c>
      <c r="E8" s="16">
        <f>Projects!E5</f>
        <v>20</v>
      </c>
      <c r="F8" s="19">
        <f>Projects!F5</f>
        <v>11000000</v>
      </c>
      <c r="G8" s="15">
        <f>Projects!G5</f>
        <v>0</v>
      </c>
      <c r="H8" s="16">
        <f>Projects!H5</f>
        <v>50</v>
      </c>
      <c r="I8" s="16">
        <f>Projects!I5</f>
        <v>0</v>
      </c>
      <c r="J8" s="16">
        <f>Projects!J5</f>
        <v>2500</v>
      </c>
      <c r="K8" s="18">
        <f>(F8/J8)/E8</f>
        <v>220</v>
      </c>
      <c r="L8" s="18">
        <f>K8*($M$2+$M$3)</f>
        <v>12.402184440659209</v>
      </c>
      <c r="M8" s="34">
        <f t="shared" ref="M8:M28" si="0">E8*K8</f>
        <v>4400</v>
      </c>
      <c r="N8" s="14"/>
    </row>
    <row r="9" spans="2:14" x14ac:dyDescent="0.35">
      <c r="B9" s="14" t="str">
        <f>Projects!B6</f>
        <v>NB3</v>
      </c>
      <c r="C9" s="15" t="str">
        <f>Projects!C6</f>
        <v>Capacity (load)</v>
      </c>
      <c r="D9" s="16">
        <f>Projects!D6</f>
        <v>0</v>
      </c>
      <c r="E9" s="16">
        <f>Projects!E6</f>
        <v>15</v>
      </c>
      <c r="F9" s="19">
        <f>Projects!F6</f>
        <v>8625000</v>
      </c>
      <c r="G9" s="15">
        <f>Projects!G6</f>
        <v>0</v>
      </c>
      <c r="H9" s="16">
        <f>Projects!H6</f>
        <v>50</v>
      </c>
      <c r="I9" s="16">
        <f>Projects!I6</f>
        <v>0</v>
      </c>
      <c r="J9" s="16">
        <f>Projects!J6</f>
        <v>2700</v>
      </c>
      <c r="K9" s="18">
        <f>(F9/J9)/E9</f>
        <v>212.96296296296296</v>
      </c>
      <c r="L9" s="18">
        <f>K9*($M$2+$M$3)</f>
        <v>12.005481571345193</v>
      </c>
      <c r="M9" s="34">
        <f t="shared" si="0"/>
        <v>3194.4444444444443</v>
      </c>
      <c r="N9" s="14"/>
    </row>
    <row r="10" spans="2:14" x14ac:dyDescent="0.35">
      <c r="B10" s="14" t="str">
        <f>Projects!B7</f>
        <v>NB4</v>
      </c>
      <c r="C10" s="15" t="str">
        <f>Projects!C7</f>
        <v>Capacity (load)</v>
      </c>
      <c r="D10" s="16">
        <f>Projects!D7</f>
        <v>0</v>
      </c>
      <c r="E10" s="16">
        <f>Projects!E7</f>
        <v>75</v>
      </c>
      <c r="F10" s="19">
        <f>Projects!F7</f>
        <v>52500000</v>
      </c>
      <c r="G10" s="15">
        <f>Projects!G7</f>
        <v>0</v>
      </c>
      <c r="H10" s="16">
        <f>Projects!H7</f>
        <v>50</v>
      </c>
      <c r="I10" s="16">
        <f>Projects!I7</f>
        <v>0</v>
      </c>
      <c r="J10" s="16">
        <f>Projects!J7</f>
        <v>3120</v>
      </c>
      <c r="K10" s="18">
        <f>(F10/J10)/E10</f>
        <v>224.35897435897436</v>
      </c>
      <c r="L10" s="18">
        <f>K10*($M$2+$M$3)</f>
        <v>12.647915367805137</v>
      </c>
      <c r="M10" s="34">
        <f t="shared" si="0"/>
        <v>16826.923076923078</v>
      </c>
      <c r="N10" s="14"/>
    </row>
    <row r="11" spans="2:14" x14ac:dyDescent="0.35">
      <c r="B11" s="14"/>
      <c r="C11" s="14"/>
      <c r="D11" s="17"/>
      <c r="E11" s="17"/>
      <c r="F11" s="18"/>
      <c r="G11" s="17"/>
      <c r="H11" s="17"/>
      <c r="I11" s="17"/>
      <c r="J11" s="14"/>
      <c r="K11" s="18"/>
      <c r="L11" s="18"/>
      <c r="M11" s="34"/>
      <c r="N11" s="14"/>
    </row>
    <row r="12" spans="2:14" x14ac:dyDescent="0.35">
      <c r="B12" s="14"/>
      <c r="C12" s="14"/>
      <c r="D12" s="14"/>
      <c r="E12" s="14"/>
      <c r="F12" s="18"/>
      <c r="G12" s="14"/>
      <c r="H12" s="14"/>
      <c r="I12" s="14"/>
      <c r="J12" s="14"/>
      <c r="K12" s="18"/>
      <c r="L12" s="18"/>
      <c r="M12" s="34"/>
      <c r="N12" s="14"/>
    </row>
    <row r="13" spans="2:14" x14ac:dyDescent="0.35">
      <c r="B13" s="13" t="str">
        <f>Projects!B10</f>
        <v>Enhancement of existing circuits</v>
      </c>
      <c r="C13" s="13"/>
      <c r="D13" s="14"/>
      <c r="E13" s="14"/>
      <c r="F13" s="18"/>
      <c r="G13" s="14"/>
      <c r="H13" s="14"/>
      <c r="I13" s="14"/>
      <c r="J13" s="14"/>
      <c r="K13" s="18"/>
      <c r="L13" s="18"/>
      <c r="M13" s="34"/>
      <c r="N13" s="14"/>
    </row>
    <row r="14" spans="2:14" x14ac:dyDescent="0.35">
      <c r="B14" s="14"/>
      <c r="C14" s="14" t="str">
        <f>Projects!C11</f>
        <v>Primary Driver</v>
      </c>
      <c r="D14" s="14" t="str">
        <f>Projects!D11</f>
        <v>Initial Length (km)</v>
      </c>
      <c r="E14" s="14" t="str">
        <f>Projects!E11</f>
        <v>New Length (km)</v>
      </c>
      <c r="F14" s="18" t="str">
        <f>Projects!F11</f>
        <v>Capital Cost (£)</v>
      </c>
      <c r="G14" s="14" t="str">
        <f>Projects!G11</f>
        <v>Time from initial build (years)</v>
      </c>
      <c r="H14" s="14" t="str">
        <f>Projects!H11</f>
        <v>New life (years)</v>
      </c>
      <c r="I14" s="14" t="str">
        <f>Projects!I11</f>
        <v>Initial Capacity (MVA)</v>
      </c>
      <c r="J14" s="14" t="str">
        <f>Projects!J11</f>
        <v>New Capacity (MVA)</v>
      </c>
      <c r="K14" s="14" t="s">
        <v>99</v>
      </c>
      <c r="L14" s="14" t="s">
        <v>102</v>
      </c>
      <c r="M14" s="34" t="s">
        <v>105</v>
      </c>
      <c r="N14" s="14"/>
    </row>
    <row r="15" spans="2:14" x14ac:dyDescent="0.35">
      <c r="B15" s="14" t="str">
        <f>Projects!B12</f>
        <v>Recon 1 - Increase Cap</v>
      </c>
      <c r="C15" s="15" t="str">
        <f>Projects!C12</f>
        <v>Capacity (load)</v>
      </c>
      <c r="D15" s="15">
        <f>Projects!D12</f>
        <v>75</v>
      </c>
      <c r="E15" s="15">
        <f>Projects!E12</f>
        <v>75</v>
      </c>
      <c r="F15" s="19">
        <f>Projects!F12</f>
        <v>18750000</v>
      </c>
      <c r="G15" s="15">
        <f>Projects!G12</f>
        <v>30</v>
      </c>
      <c r="H15" s="15">
        <f>Projects!H12</f>
        <v>50</v>
      </c>
      <c r="I15" s="16">
        <f>Projects!I12</f>
        <v>2000</v>
      </c>
      <c r="J15" s="16">
        <f>Projects!J12</f>
        <v>2500</v>
      </c>
      <c r="K15" s="18">
        <f>(F15/J15)/E15</f>
        <v>100</v>
      </c>
      <c r="L15" s="18">
        <f>K15*($M$2+$M$3)</f>
        <v>5.6373565639360042</v>
      </c>
      <c r="M15" s="34">
        <f t="shared" si="0"/>
        <v>7500</v>
      </c>
      <c r="N15" s="14"/>
    </row>
    <row r="16" spans="2:14" x14ac:dyDescent="0.35">
      <c r="B16" s="14" t="str">
        <f>Projects!B13</f>
        <v>Recon 2 - Life Extension</v>
      </c>
      <c r="C16" s="15" t="str">
        <f>Projects!C13</f>
        <v>Life (non-load)</v>
      </c>
      <c r="D16" s="15">
        <f>Projects!D13</f>
        <v>50</v>
      </c>
      <c r="E16" s="15">
        <f>Projects!E13</f>
        <v>50</v>
      </c>
      <c r="F16" s="19">
        <f>Projects!F13</f>
        <v>7500000</v>
      </c>
      <c r="G16" s="15">
        <f>Projects!G13</f>
        <v>40</v>
      </c>
      <c r="H16" s="15">
        <f>Projects!H13</f>
        <v>70</v>
      </c>
      <c r="I16" s="16">
        <f>Projects!I13</f>
        <v>1750</v>
      </c>
      <c r="J16" s="16">
        <f>Projects!J13</f>
        <v>1750</v>
      </c>
      <c r="K16" s="18">
        <f>(F16/J16)/E16</f>
        <v>85.714285714285708</v>
      </c>
      <c r="L16" s="18">
        <f>K16*($M$2+$M$3)</f>
        <v>4.8320199119451459</v>
      </c>
      <c r="M16" s="34">
        <f t="shared" si="0"/>
        <v>4285.7142857142853</v>
      </c>
      <c r="N16" s="14"/>
    </row>
    <row r="17" spans="2:14" x14ac:dyDescent="0.35">
      <c r="B17" s="14" t="str">
        <f>Projects!B14</f>
        <v>Recon 3 - Cap &amp; Life Increase</v>
      </c>
      <c r="C17" s="15" t="str">
        <f>Projects!C14</f>
        <v>Life (non-load)</v>
      </c>
      <c r="D17" s="15">
        <f>Projects!D14</f>
        <v>350</v>
      </c>
      <c r="E17" s="15">
        <f>Projects!E14</f>
        <v>350</v>
      </c>
      <c r="F17" s="19">
        <f>Projects!F14</f>
        <v>61250000</v>
      </c>
      <c r="G17" s="15">
        <f>Projects!G14</f>
        <v>45</v>
      </c>
      <c r="H17" s="15">
        <f>Projects!H14</f>
        <v>70</v>
      </c>
      <c r="I17" s="16">
        <f>Projects!I14</f>
        <v>2750</v>
      </c>
      <c r="J17" s="16">
        <f>Projects!J14</f>
        <v>3150</v>
      </c>
      <c r="K17" s="18">
        <f>(F17/J17)/E17</f>
        <v>55.555555555555557</v>
      </c>
      <c r="L17" s="18">
        <f>K17*($M$2+$M$3)</f>
        <v>3.1318647577422243</v>
      </c>
      <c r="M17" s="34">
        <f t="shared" si="0"/>
        <v>19444.444444444445</v>
      </c>
      <c r="N17" s="14"/>
    </row>
    <row r="18" spans="2:14" x14ac:dyDescent="0.35">
      <c r="B18" s="14" t="str">
        <f>Projects!B15</f>
        <v>Recon 4 - Cap &amp; Life Increase</v>
      </c>
      <c r="C18" s="15" t="str">
        <f>Projects!C15</f>
        <v>Capacity (load)</v>
      </c>
      <c r="D18" s="15">
        <f>Projects!D15</f>
        <v>100</v>
      </c>
      <c r="E18" s="15">
        <f>Projects!E15</f>
        <v>100</v>
      </c>
      <c r="F18" s="19">
        <f>Projects!F15</f>
        <v>26500000</v>
      </c>
      <c r="G18" s="15">
        <f>Projects!G15</f>
        <v>40</v>
      </c>
      <c r="H18" s="15">
        <f>Projects!H15</f>
        <v>70</v>
      </c>
      <c r="I18" s="16">
        <f>Projects!I15</f>
        <v>1500</v>
      </c>
      <c r="J18" s="16">
        <f>Projects!J15</f>
        <v>2800</v>
      </c>
      <c r="K18" s="18">
        <f>(F18/J18)/E18</f>
        <v>94.642857142857139</v>
      </c>
      <c r="L18" s="18">
        <f>K18*($M$2+$M$3)</f>
        <v>5.3353553194394321</v>
      </c>
      <c r="M18" s="34">
        <f t="shared" si="0"/>
        <v>9464.2857142857138</v>
      </c>
      <c r="N18" s="14"/>
    </row>
    <row r="19" spans="2:14" x14ac:dyDescent="0.35">
      <c r="B19" s="14" t="str">
        <f>Projects!B16</f>
        <v>Recon 5 - route change</v>
      </c>
      <c r="C19" s="15" t="str">
        <f>Projects!C16</f>
        <v>Rerouting (load)</v>
      </c>
      <c r="D19" s="15">
        <f>Projects!D16</f>
        <v>25</v>
      </c>
      <c r="E19" s="15">
        <f>Projects!E16</f>
        <v>30</v>
      </c>
      <c r="F19" s="19">
        <f>Projects!F16</f>
        <v>2550000</v>
      </c>
      <c r="G19" s="15">
        <f>Projects!G16</f>
        <v>20</v>
      </c>
      <c r="H19" s="15">
        <f>Projects!H16</f>
        <v>50</v>
      </c>
      <c r="I19" s="16">
        <f>Projects!I16</f>
        <v>2000</v>
      </c>
      <c r="J19" s="16">
        <f>Projects!J16</f>
        <v>2000</v>
      </c>
      <c r="K19" s="18">
        <f>(F19/J19)/E19</f>
        <v>42.5</v>
      </c>
      <c r="L19" s="18">
        <f>K19*($M$2+$M$3)</f>
        <v>2.3958765396728015</v>
      </c>
      <c r="M19" s="34">
        <f t="shared" si="0"/>
        <v>1275</v>
      </c>
      <c r="N19" s="14"/>
    </row>
    <row r="20" spans="2:14" x14ac:dyDescent="0.35">
      <c r="B20" s="14"/>
      <c r="C20" s="14"/>
      <c r="D20" s="14"/>
      <c r="E20" s="14"/>
      <c r="F20" s="18"/>
      <c r="G20" s="14"/>
      <c r="H20" s="14"/>
      <c r="I20" s="14"/>
      <c r="J20" s="14"/>
      <c r="K20" s="18"/>
      <c r="L20" s="18"/>
      <c r="M20" s="34"/>
      <c r="N20" s="14"/>
    </row>
    <row r="21" spans="2:14" x14ac:dyDescent="0.35">
      <c r="B21" s="14"/>
      <c r="C21" s="14"/>
      <c r="D21" s="14"/>
      <c r="E21" s="14"/>
      <c r="F21" s="18"/>
      <c r="G21" s="14"/>
      <c r="H21" s="14"/>
      <c r="I21" s="14"/>
      <c r="J21" s="14"/>
      <c r="K21" s="18"/>
      <c r="L21" s="18"/>
      <c r="M21" s="34"/>
      <c r="N21" s="14"/>
    </row>
    <row r="22" spans="2:14" x14ac:dyDescent="0.35">
      <c r="B22" s="13" t="str">
        <f>Projects!B19</f>
        <v>Non-circuit</v>
      </c>
      <c r="C22" s="13"/>
      <c r="D22" s="14"/>
      <c r="E22" s="14"/>
      <c r="F22" s="18"/>
      <c r="G22" s="14"/>
      <c r="H22" s="14"/>
      <c r="I22" s="14"/>
      <c r="J22" s="14"/>
      <c r="K22" s="18"/>
      <c r="L22" s="18"/>
      <c r="M22" s="34"/>
      <c r="N22" s="14"/>
    </row>
    <row r="23" spans="2:14" x14ac:dyDescent="0.35">
      <c r="B23" s="14"/>
      <c r="C23" s="14" t="str">
        <f>Projects!C20</f>
        <v>Primary Driver</v>
      </c>
      <c r="D23" s="14" t="str">
        <f>Projects!D20</f>
        <v>Initial Length (km)</v>
      </c>
      <c r="E23" s="14" t="str">
        <f>Projects!E20</f>
        <v>New Length (km)</v>
      </c>
      <c r="F23" s="18" t="str">
        <f>Projects!F20</f>
        <v>Capital Cost (£)</v>
      </c>
      <c r="G23" s="14" t="str">
        <f>Projects!G20</f>
        <v>Time from initial build (years)</v>
      </c>
      <c r="H23" s="14" t="str">
        <f>Projects!H20</f>
        <v>New life (years)</v>
      </c>
      <c r="I23" s="14" t="str">
        <f>Projects!I20</f>
        <v>Initial Capacity (MVA)</v>
      </c>
      <c r="J23" s="14" t="str">
        <f>Projects!J20</f>
        <v>New Capacity (MVA)</v>
      </c>
      <c r="K23" s="14" t="s">
        <v>99</v>
      </c>
      <c r="L23" s="14" t="s">
        <v>102</v>
      </c>
      <c r="M23" s="34" t="s">
        <v>105</v>
      </c>
      <c r="N23" s="14"/>
    </row>
    <row r="24" spans="2:14" x14ac:dyDescent="0.35">
      <c r="B24" s="14" t="str">
        <f>Projects!B21</f>
        <v>Sub 1 - Increase Cap</v>
      </c>
      <c r="C24" s="15" t="str">
        <f>Projects!C21</f>
        <v>Capacity (load)</v>
      </c>
      <c r="D24" s="15">
        <f>Projects!D21</f>
        <v>1</v>
      </c>
      <c r="E24" s="15">
        <f>Projects!E21</f>
        <v>1</v>
      </c>
      <c r="F24" s="19">
        <f>Projects!F21</f>
        <v>500000</v>
      </c>
      <c r="G24" s="15">
        <f>Projects!G21</f>
        <v>30</v>
      </c>
      <c r="H24" s="15">
        <f>Projects!H21</f>
        <v>50</v>
      </c>
      <c r="I24" s="16">
        <f>Projects!I21</f>
        <v>2000</v>
      </c>
      <c r="J24" s="16">
        <f>Projects!J21</f>
        <v>2100</v>
      </c>
      <c r="K24" s="18">
        <f>(F24/J24)/E24</f>
        <v>238.0952380952381</v>
      </c>
      <c r="L24" s="18">
        <f>K24*($M$2+$M$3)</f>
        <v>13.422277533180962</v>
      </c>
      <c r="M24" s="34">
        <f t="shared" si="0"/>
        <v>238.0952380952381</v>
      </c>
      <c r="N24" s="14"/>
    </row>
    <row r="25" spans="2:14" x14ac:dyDescent="0.35">
      <c r="B25" s="14" t="str">
        <f>Projects!B22</f>
        <v>Sub 2 - Life Extension</v>
      </c>
      <c r="C25" s="15" t="str">
        <f>Projects!C22</f>
        <v>Life (non-load)</v>
      </c>
      <c r="D25" s="15">
        <f>Projects!D22</f>
        <v>1</v>
      </c>
      <c r="E25" s="15">
        <f>Projects!E22</f>
        <v>1</v>
      </c>
      <c r="F25" s="19">
        <f>Projects!F22</f>
        <v>1000000</v>
      </c>
      <c r="G25" s="15">
        <f>Projects!G22</f>
        <v>40</v>
      </c>
      <c r="H25" s="15">
        <f>Projects!H22</f>
        <v>70</v>
      </c>
      <c r="I25" s="16">
        <f>Projects!I22</f>
        <v>1750</v>
      </c>
      <c r="J25" s="16">
        <f>Projects!J22</f>
        <v>1750</v>
      </c>
      <c r="K25" s="18">
        <f>(F25/J25)/E25</f>
        <v>571.42857142857144</v>
      </c>
      <c r="L25" s="18">
        <f>K25*($M$2+$M$3)</f>
        <v>32.213466079634308</v>
      </c>
      <c r="M25" s="34">
        <f t="shared" si="0"/>
        <v>571.42857142857144</v>
      </c>
      <c r="N25" s="14"/>
    </row>
    <row r="26" spans="2:14" x14ac:dyDescent="0.35">
      <c r="B26" s="14" t="str">
        <f>Projects!B23</f>
        <v>Sub 3 - Cap &amp; Life Increase</v>
      </c>
      <c r="C26" s="15" t="str">
        <f>Projects!C23</f>
        <v>Life (non-load)</v>
      </c>
      <c r="D26" s="15">
        <f>Projects!D23</f>
        <v>1</v>
      </c>
      <c r="E26" s="15">
        <f>Projects!E23</f>
        <v>1</v>
      </c>
      <c r="F26" s="19">
        <f>Projects!F23</f>
        <v>2000000</v>
      </c>
      <c r="G26" s="15">
        <f>Projects!G23</f>
        <v>45</v>
      </c>
      <c r="H26" s="15">
        <f>Projects!H23</f>
        <v>70</v>
      </c>
      <c r="I26" s="16">
        <f>Projects!I23</f>
        <v>900</v>
      </c>
      <c r="J26" s="16">
        <f>Projects!J23</f>
        <v>1500</v>
      </c>
      <c r="K26" s="18">
        <f>(F26/J26)/E26</f>
        <v>1333.3333333333333</v>
      </c>
      <c r="L26" s="18">
        <f>K26*($M$2+$M$3)</f>
        <v>75.164754185813379</v>
      </c>
      <c r="M26" s="34">
        <f t="shared" si="0"/>
        <v>1333.3333333333333</v>
      </c>
      <c r="N26" s="14"/>
    </row>
    <row r="27" spans="2:14" x14ac:dyDescent="0.35">
      <c r="B27" s="14" t="str">
        <f>Projects!B24</f>
        <v>Sub 4 - Cap &amp; Life Increase</v>
      </c>
      <c r="C27" s="15" t="str">
        <f>Projects!C24</f>
        <v>Capacity (load)</v>
      </c>
      <c r="D27" s="15">
        <f>Projects!D24</f>
        <v>1</v>
      </c>
      <c r="E27" s="15">
        <f>Projects!E24</f>
        <v>1</v>
      </c>
      <c r="F27" s="19">
        <f>Projects!F24</f>
        <v>10500000</v>
      </c>
      <c r="G27" s="15">
        <f>Projects!G24</f>
        <v>40</v>
      </c>
      <c r="H27" s="15">
        <f>Projects!H24</f>
        <v>80</v>
      </c>
      <c r="I27" s="16">
        <f>Projects!I24</f>
        <v>1000</v>
      </c>
      <c r="J27" s="16">
        <f>Projects!J24</f>
        <v>2200</v>
      </c>
      <c r="K27" s="18">
        <f>(F27/J27)/E27</f>
        <v>4772.727272727273</v>
      </c>
      <c r="L27" s="18">
        <f>K27*($M$2+$M$3)</f>
        <v>269.05565418785471</v>
      </c>
      <c r="M27" s="34">
        <f t="shared" si="0"/>
        <v>4772.727272727273</v>
      </c>
      <c r="N27" s="14"/>
    </row>
    <row r="28" spans="2:14" x14ac:dyDescent="0.35">
      <c r="B28" s="14" t="str">
        <f>Projects!B25</f>
        <v>Sub 5 - New Build</v>
      </c>
      <c r="C28" s="15" t="str">
        <f>Projects!C25</f>
        <v>Capacity (load)</v>
      </c>
      <c r="D28" s="15">
        <f>Projects!D25</f>
        <v>1</v>
      </c>
      <c r="E28" s="15">
        <f>Projects!E25</f>
        <v>1</v>
      </c>
      <c r="F28" s="19">
        <f>Projects!F25</f>
        <v>30000000</v>
      </c>
      <c r="G28" s="15">
        <f>Projects!G25</f>
        <v>0</v>
      </c>
      <c r="H28" s="15">
        <f>Projects!H25</f>
        <v>50</v>
      </c>
      <c r="I28" s="16">
        <f>Projects!I25</f>
        <v>0</v>
      </c>
      <c r="J28" s="16">
        <f>Projects!J25</f>
        <v>2200</v>
      </c>
      <c r="K28" s="18">
        <f>(F28/J28)/E28</f>
        <v>13636.363636363636</v>
      </c>
      <c r="L28" s="18">
        <f>K28*($M$2+$M$3)</f>
        <v>768.73044053672777</v>
      </c>
      <c r="M28" s="34">
        <f t="shared" si="0"/>
        <v>13636.363636363636</v>
      </c>
      <c r="N28" s="14"/>
    </row>
    <row r="29" spans="2:14" x14ac:dyDescent="0.35"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34"/>
      <c r="N29" s="14"/>
    </row>
    <row r="30" spans="2:14" x14ac:dyDescent="0.35">
      <c r="C30" s="14"/>
      <c r="D30" s="14"/>
      <c r="E30" s="14"/>
      <c r="F30" s="14"/>
      <c r="G30" s="14"/>
      <c r="H30" s="14"/>
      <c r="I30" s="14"/>
    </row>
    <row r="31" spans="2:14" x14ac:dyDescent="0.35">
      <c r="B31" s="27" t="s">
        <v>71</v>
      </c>
      <c r="C31" s="29" t="s">
        <v>91</v>
      </c>
      <c r="D31" s="29" t="s">
        <v>107</v>
      </c>
      <c r="E31" s="35" t="s">
        <v>103</v>
      </c>
      <c r="F31" s="35" t="s">
        <v>106</v>
      </c>
      <c r="G31" s="35" t="s">
        <v>110</v>
      </c>
      <c r="H31" s="36" t="s">
        <v>108</v>
      </c>
      <c r="I31" s="14"/>
    </row>
    <row r="32" spans="2:14" x14ac:dyDescent="0.35">
      <c r="B32" s="22" t="s">
        <v>79</v>
      </c>
      <c r="C32" s="23" t="s">
        <v>72</v>
      </c>
      <c r="D32" s="32" t="s">
        <v>97</v>
      </c>
      <c r="E32" s="35" t="s">
        <v>104</v>
      </c>
      <c r="F32" s="35" t="s">
        <v>104</v>
      </c>
      <c r="G32" s="35" t="s">
        <v>104</v>
      </c>
      <c r="H32" s="36" t="s">
        <v>104</v>
      </c>
      <c r="I32" s="14"/>
    </row>
    <row r="33" spans="2:9" x14ac:dyDescent="0.35">
      <c r="B33" s="22" t="s">
        <v>73</v>
      </c>
      <c r="C33" s="23" t="s">
        <v>85</v>
      </c>
      <c r="D33" s="23">
        <f>H33</f>
        <v>12.647112325559563</v>
      </c>
      <c r="E33" s="37">
        <f>SUM(E7:E10)</f>
        <v>120</v>
      </c>
      <c r="F33" s="38">
        <f>SUM(M7:M10)</f>
        <v>26921.367521367523</v>
      </c>
      <c r="G33" s="35">
        <f>F33/E33</f>
        <v>224.34472934472936</v>
      </c>
      <c r="H33" s="36">
        <f>G33*($M$2+$M$3)</f>
        <v>12.647112325559563</v>
      </c>
      <c r="I33" s="14"/>
    </row>
    <row r="34" spans="2:9" x14ac:dyDescent="0.35">
      <c r="B34" s="24" t="s">
        <v>75</v>
      </c>
      <c r="C34" s="23" t="s">
        <v>87</v>
      </c>
      <c r="D34" s="23">
        <f t="shared" ref="D34:D40" si="1">H34</f>
        <v>7.8334370753737694</v>
      </c>
      <c r="E34" s="37">
        <f>SUM(E7:E10)+E15+E18+E19</f>
        <v>325</v>
      </c>
      <c r="F34" s="38">
        <f>SUM(M7:M10)+M15+M18+M19</f>
        <v>45160.653235653241</v>
      </c>
      <c r="G34" s="35">
        <f>F34/E34</f>
        <v>138.95585610970227</v>
      </c>
      <c r="H34" s="36">
        <f t="shared" ref="H34:H40" si="2">G34*($M$2+$M$3)</f>
        <v>7.8334370753737694</v>
      </c>
      <c r="I34" s="14"/>
    </row>
    <row r="35" spans="2:9" x14ac:dyDescent="0.35">
      <c r="B35" s="24" t="s">
        <v>76</v>
      </c>
      <c r="C35" s="23" t="s">
        <v>88</v>
      </c>
      <c r="D35" s="23">
        <f t="shared" si="1"/>
        <v>5.4911675766811223</v>
      </c>
      <c r="E35" s="37">
        <f>SUM(E7:E10)+E16+E17</f>
        <v>520</v>
      </c>
      <c r="F35" s="38">
        <f>SUM(M7:M10)+M16+M17</f>
        <v>50651.526251526258</v>
      </c>
      <c r="G35" s="35">
        <f t="shared" ref="G35:G40" si="3">F35/E35</f>
        <v>97.406781252935119</v>
      </c>
      <c r="H35" s="36">
        <f t="shared" si="2"/>
        <v>5.4911675766811223</v>
      </c>
      <c r="I35" s="14"/>
    </row>
    <row r="36" spans="2:9" x14ac:dyDescent="0.35">
      <c r="B36" s="24" t="s">
        <v>77</v>
      </c>
      <c r="C36" s="23" t="s">
        <v>89</v>
      </c>
      <c r="D36" s="23">
        <f t="shared" si="1"/>
        <v>18.895734872759302</v>
      </c>
      <c r="E36" s="37">
        <f>SUM(E7:E10)+E28</f>
        <v>121</v>
      </c>
      <c r="F36" s="38">
        <f>SUM(M7:M10)+M28</f>
        <v>40557.731157731163</v>
      </c>
      <c r="G36" s="35">
        <f t="shared" si="3"/>
        <v>335.18786080769559</v>
      </c>
      <c r="H36" s="36">
        <f t="shared" si="2"/>
        <v>18.895734872759302</v>
      </c>
      <c r="I36" s="14"/>
    </row>
    <row r="37" spans="2:9" x14ac:dyDescent="0.35">
      <c r="B37" s="24" t="s">
        <v>78</v>
      </c>
      <c r="C37" s="23" t="s">
        <v>90</v>
      </c>
      <c r="D37" s="23">
        <f t="shared" si="1"/>
        <v>5.3567182211082907</v>
      </c>
      <c r="E37" s="37">
        <f>SUM(E7:E10)+SUM(E15:E19)</f>
        <v>725</v>
      </c>
      <c r="F37" s="38">
        <f>SUM(M7:M10)+SUM(M15:M19)</f>
        <v>68890.811965811969</v>
      </c>
      <c r="G37" s="35">
        <f t="shared" si="3"/>
        <v>95.021809608016511</v>
      </c>
      <c r="H37" s="36">
        <f t="shared" si="2"/>
        <v>5.3567182211082907</v>
      </c>
      <c r="I37" s="14"/>
    </row>
    <row r="38" spans="2:9" x14ac:dyDescent="0.35">
      <c r="B38" s="24" t="s">
        <v>96</v>
      </c>
      <c r="C38" s="23" t="s">
        <v>92</v>
      </c>
      <c r="D38" s="23">
        <f t="shared" si="1"/>
        <v>10.966693359006825</v>
      </c>
      <c r="E38" s="37">
        <f>SUM(E7:E10)+E15+E18+E19+E24+E27+E28</f>
        <v>328</v>
      </c>
      <c r="F38" s="38">
        <f>SUM(M7:M10)+M15+M18+M19+M24+M27+M28</f>
        <v>63807.839382839389</v>
      </c>
      <c r="G38" s="35">
        <f t="shared" si="3"/>
        <v>194.53609567938838</v>
      </c>
      <c r="H38" s="36">
        <f t="shared" si="2"/>
        <v>10.966693359006825</v>
      </c>
      <c r="I38" s="14"/>
    </row>
    <row r="39" spans="2:9" x14ac:dyDescent="0.35">
      <c r="B39" s="24" t="s">
        <v>95</v>
      </c>
      <c r="C39" s="23" t="s">
        <v>93</v>
      </c>
      <c r="D39" s="23">
        <f t="shared" si="1"/>
        <v>5.675834023255999</v>
      </c>
      <c r="E39" s="37">
        <f>SUM(E7:E10)+E16+E17+E25+E26</f>
        <v>522</v>
      </c>
      <c r="F39" s="38">
        <f>SUM(M7:M10)+M16+M17+M25+M26</f>
        <v>52556.288156288167</v>
      </c>
      <c r="G39" s="35">
        <f t="shared" si="3"/>
        <v>100.68254436070529</v>
      </c>
      <c r="H39" s="36">
        <f t="shared" si="2"/>
        <v>5.675834023255999</v>
      </c>
      <c r="I39" s="14"/>
    </row>
    <row r="40" spans="2:9" x14ac:dyDescent="0.35">
      <c r="B40" s="24" t="s">
        <v>82</v>
      </c>
      <c r="C40" s="23" t="s">
        <v>94</v>
      </c>
      <c r="D40" s="23">
        <f t="shared" si="1"/>
        <v>6.9071332915434542</v>
      </c>
      <c r="E40" s="37">
        <f>SUM(E7:E28)</f>
        <v>730</v>
      </c>
      <c r="F40" s="38">
        <f>SUM(M7:M28)</f>
        <v>89442.760017760011</v>
      </c>
      <c r="G40" s="35">
        <f t="shared" si="3"/>
        <v>122.52432879145206</v>
      </c>
      <c r="H40" s="36">
        <f t="shared" si="2"/>
        <v>6.9071332915434542</v>
      </c>
      <c r="I40" s="14"/>
    </row>
    <row r="41" spans="2:9" x14ac:dyDescent="0.35">
      <c r="C41" s="14"/>
      <c r="D41" s="14"/>
      <c r="E41" s="35"/>
      <c r="F41" s="35"/>
      <c r="G41" s="35"/>
      <c r="H41" s="36"/>
      <c r="I41" s="14"/>
    </row>
    <row r="42" spans="2:9" x14ac:dyDescent="0.35">
      <c r="C42" s="14"/>
      <c r="D42" s="14"/>
      <c r="E42" s="42" t="s">
        <v>109</v>
      </c>
      <c r="F42" s="42"/>
      <c r="G42" s="42"/>
      <c r="H42" s="42"/>
      <c r="I42" s="14"/>
    </row>
  </sheetData>
  <mergeCells count="1">
    <mergeCell ref="E42:H42"/>
  </mergeCells>
  <pageMargins left="0.7" right="0.7" top="0.75" bottom="0.75" header="0.3" footer="0.3"/>
  <pageSetup paperSize="0" orientation="portrait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07C0F-FFDA-4B34-99F0-76B770BFC417}">
  <dimension ref="B2:Y40"/>
  <sheetViews>
    <sheetView topLeftCell="D1" zoomScaleNormal="100" workbookViewId="0">
      <selection activeCell="Q13" sqref="Q13"/>
    </sheetView>
  </sheetViews>
  <sheetFormatPr defaultRowHeight="14.5" x14ac:dyDescent="0.35"/>
  <cols>
    <col min="2" max="2" width="37.1796875" bestFit="1" customWidth="1"/>
    <col min="3" max="3" width="31.81640625" bestFit="1" customWidth="1"/>
    <col min="4" max="4" width="16.08984375" bestFit="1" customWidth="1"/>
    <col min="5" max="5" width="15.08984375" bestFit="1" customWidth="1"/>
    <col min="6" max="6" width="13.6328125" bestFit="1" customWidth="1"/>
    <col min="7" max="7" width="25.7265625" bestFit="1" customWidth="1"/>
    <col min="8" max="8" width="13.81640625" bestFit="1" customWidth="1"/>
    <col min="9" max="9" width="19.08984375" bestFit="1" customWidth="1"/>
    <col min="10" max="10" width="18.08984375" bestFit="1" customWidth="1"/>
    <col min="11" max="11" width="7.81640625" bestFit="1" customWidth="1"/>
    <col min="12" max="12" width="8.90625" bestFit="1" customWidth="1"/>
    <col min="13" max="13" width="22.90625" bestFit="1" customWidth="1"/>
    <col min="14" max="14" width="21.1796875" bestFit="1" customWidth="1"/>
    <col min="15" max="15" width="34.7265625" bestFit="1" customWidth="1"/>
    <col min="16" max="17" width="11.36328125" bestFit="1" customWidth="1"/>
    <col min="18" max="18" width="7.453125" bestFit="1" customWidth="1"/>
    <col min="19" max="19" width="11.81640625" bestFit="1" customWidth="1"/>
    <col min="20" max="20" width="14.36328125" bestFit="1" customWidth="1"/>
    <col min="21" max="21" width="20.36328125" bestFit="1" customWidth="1"/>
    <col min="22" max="22" width="17.453125" bestFit="1" customWidth="1"/>
    <col min="23" max="23" width="33.08984375" bestFit="1" customWidth="1"/>
    <col min="24" max="24" width="14.26953125" bestFit="1" customWidth="1"/>
    <col min="25" max="25" width="13.90625" bestFit="1" customWidth="1"/>
    <col min="26" max="26" width="11.81640625" bestFit="1" customWidth="1"/>
  </cols>
  <sheetData>
    <row r="2" spans="2:25" x14ac:dyDescent="0.35">
      <c r="B2" s="12" t="s">
        <v>39</v>
      </c>
      <c r="C2" s="12"/>
      <c r="D2" s="12"/>
    </row>
    <row r="3" spans="2:25" x14ac:dyDescent="0.35">
      <c r="U3" s="10"/>
    </row>
    <row r="4" spans="2:25" x14ac:dyDescent="0.35">
      <c r="C4" s="13" t="s">
        <v>51</v>
      </c>
      <c r="D4" s="13" t="s">
        <v>45</v>
      </c>
      <c r="E4" t="s">
        <v>1</v>
      </c>
      <c r="F4" t="s">
        <v>2</v>
      </c>
      <c r="G4" t="s">
        <v>11</v>
      </c>
      <c r="H4" t="s">
        <v>3</v>
      </c>
      <c r="I4" t="s">
        <v>13</v>
      </c>
      <c r="J4" t="s">
        <v>10</v>
      </c>
      <c r="L4" t="s">
        <v>26</v>
      </c>
      <c r="M4" t="s">
        <v>15</v>
      </c>
      <c r="N4" t="s">
        <v>16</v>
      </c>
      <c r="O4" t="s">
        <v>17</v>
      </c>
    </row>
    <row r="5" spans="2:25" x14ac:dyDescent="0.35">
      <c r="B5" s="14" t="str">
        <f>Projects!B4</f>
        <v>NB1</v>
      </c>
      <c r="C5" s="15" t="str">
        <f>Projects!C4</f>
        <v>Capacity (load)</v>
      </c>
      <c r="D5" s="16">
        <f>Projects!D4</f>
        <v>0</v>
      </c>
      <c r="E5" s="16">
        <f>Projects!E4</f>
        <v>10</v>
      </c>
      <c r="F5" s="19">
        <f>Projects!F4</f>
        <v>5000000</v>
      </c>
      <c r="G5" s="15">
        <f>Projects!G4</f>
        <v>0</v>
      </c>
      <c r="H5" s="16">
        <f>Projects!H4</f>
        <v>50</v>
      </c>
      <c r="I5" s="16">
        <f>Projects!I4</f>
        <v>0</v>
      </c>
      <c r="J5" s="16">
        <f>Projects!J4</f>
        <v>2000</v>
      </c>
      <c r="K5" s="4"/>
      <c r="L5" s="4">
        <f>+J5*H5</f>
        <v>100000</v>
      </c>
      <c r="M5" s="2">
        <f>F5*(1+WACC)^-G5</f>
        <v>5000000</v>
      </c>
      <c r="N5" s="2">
        <f>M5/(E5*J5)</f>
        <v>250</v>
      </c>
      <c r="O5" s="5">
        <f>WACC/(1-(1+WACC)^-H5)*N5</f>
        <v>14.765362530754407</v>
      </c>
    </row>
    <row r="6" spans="2:25" x14ac:dyDescent="0.35">
      <c r="B6" s="14" t="str">
        <f>Projects!B5</f>
        <v>NB2</v>
      </c>
      <c r="C6" s="15" t="str">
        <f>Projects!C5</f>
        <v>Capacity (load)</v>
      </c>
      <c r="D6" s="16">
        <f>Projects!D5</f>
        <v>0</v>
      </c>
      <c r="E6" s="16">
        <f>Projects!E5</f>
        <v>20</v>
      </c>
      <c r="F6" s="19">
        <f>Projects!F5</f>
        <v>11000000</v>
      </c>
      <c r="G6" s="15">
        <f>Projects!G5</f>
        <v>0</v>
      </c>
      <c r="H6" s="16">
        <f>Projects!H5</f>
        <v>50</v>
      </c>
      <c r="I6" s="16">
        <f>Projects!I5</f>
        <v>0</v>
      </c>
      <c r="J6" s="16">
        <f>Projects!J5</f>
        <v>2500</v>
      </c>
      <c r="K6" s="4"/>
      <c r="L6" s="4">
        <f>+J6*H6</f>
        <v>125000</v>
      </c>
      <c r="M6" s="2">
        <f>F6*(1+WACC)^-G6</f>
        <v>11000000</v>
      </c>
      <c r="N6" s="2">
        <f>M6/(E6*J6)</f>
        <v>220</v>
      </c>
      <c r="O6" s="5">
        <f>WACC/(1-(1+WACC)^-H6)*N6</f>
        <v>12.993519027063877</v>
      </c>
    </row>
    <row r="7" spans="2:25" x14ac:dyDescent="0.35">
      <c r="B7" s="14" t="str">
        <f>Projects!B6</f>
        <v>NB3</v>
      </c>
      <c r="C7" s="15" t="str">
        <f>Projects!C6</f>
        <v>Capacity (load)</v>
      </c>
      <c r="D7" s="16">
        <f>Projects!D6</f>
        <v>0</v>
      </c>
      <c r="E7" s="16">
        <f>Projects!E6</f>
        <v>15</v>
      </c>
      <c r="F7" s="19">
        <f>Projects!F6</f>
        <v>8625000</v>
      </c>
      <c r="G7" s="15">
        <f>Projects!G6</f>
        <v>0</v>
      </c>
      <c r="H7" s="16">
        <f>Projects!H6</f>
        <v>50</v>
      </c>
      <c r="I7" s="16">
        <f>Projects!I6</f>
        <v>0</v>
      </c>
      <c r="J7" s="16">
        <f>Projects!J6</f>
        <v>2700</v>
      </c>
      <c r="K7" s="4"/>
      <c r="L7" s="4">
        <f>+J7*H7</f>
        <v>135000</v>
      </c>
      <c r="M7" s="2">
        <f>F7*(1+WACC)^-G7</f>
        <v>8625000</v>
      </c>
      <c r="N7" s="2">
        <f>M7/(E7*J7)</f>
        <v>212.96296296296296</v>
      </c>
      <c r="O7" s="5">
        <f>WACC/(1-(1+WACC)^-H7)*N7</f>
        <v>12.577901415087087</v>
      </c>
    </row>
    <row r="8" spans="2:25" x14ac:dyDescent="0.35">
      <c r="B8" s="14" t="str">
        <f>Projects!B7</f>
        <v>NB4</v>
      </c>
      <c r="C8" s="15" t="str">
        <f>Projects!C7</f>
        <v>Capacity (load)</v>
      </c>
      <c r="D8" s="16">
        <f>Projects!D7</f>
        <v>0</v>
      </c>
      <c r="E8" s="16">
        <f>Projects!E7</f>
        <v>75</v>
      </c>
      <c r="F8" s="19">
        <f>Projects!F7</f>
        <v>52500000</v>
      </c>
      <c r="G8" s="15">
        <f>Projects!G7</f>
        <v>0</v>
      </c>
      <c r="H8" s="16">
        <f>Projects!H7</f>
        <v>50</v>
      </c>
      <c r="I8" s="16">
        <f>Projects!I7</f>
        <v>0</v>
      </c>
      <c r="J8" s="16">
        <f>Projects!J7</f>
        <v>3120</v>
      </c>
      <c r="K8" s="4"/>
      <c r="L8" s="4">
        <f>+J8*H8</f>
        <v>156000</v>
      </c>
      <c r="M8" s="2">
        <f>F8*(1+WACC)^-G8</f>
        <v>52500000</v>
      </c>
      <c r="N8" s="2">
        <f>M8/(E8*J8)</f>
        <v>224.35897435897436</v>
      </c>
      <c r="O8" s="5">
        <f>WACC/(1-(1+WACC)^-H8)*N8</f>
        <v>13.250966373753954</v>
      </c>
    </row>
    <row r="9" spans="2:25" x14ac:dyDescent="0.35">
      <c r="E9" s="2"/>
      <c r="F9" s="2"/>
      <c r="G9" s="2"/>
      <c r="H9" s="2"/>
      <c r="I9" s="2"/>
    </row>
    <row r="10" spans="2:25" x14ac:dyDescent="0.35">
      <c r="F10" s="2"/>
    </row>
    <row r="11" spans="2:25" x14ac:dyDescent="0.35">
      <c r="B11" s="1" t="s">
        <v>7</v>
      </c>
      <c r="C11" s="1"/>
      <c r="D11" s="1"/>
    </row>
    <row r="12" spans="2:25" ht="58" x14ac:dyDescent="0.35">
      <c r="B12" s="14">
        <f>Projects!B11</f>
        <v>0</v>
      </c>
      <c r="C12" s="13" t="str">
        <f>Projects!C11</f>
        <v>Primary Driver</v>
      </c>
      <c r="D12" s="13" t="str">
        <f>Projects!D11</f>
        <v>Initial Length (km)</v>
      </c>
      <c r="E12" s="13" t="str">
        <f>Projects!E11</f>
        <v>New Length (km)</v>
      </c>
      <c r="F12" s="26" t="str">
        <f>Projects!F11</f>
        <v>Capital Cost (£)</v>
      </c>
      <c r="G12" s="13" t="str">
        <f>Projects!G11</f>
        <v>Time from initial build (years)</v>
      </c>
      <c r="H12" s="13" t="str">
        <f>Projects!H11</f>
        <v>New life (years)</v>
      </c>
      <c r="I12" s="13" t="str">
        <f>Projects!I11</f>
        <v>Initial Capacity (MVA)</v>
      </c>
      <c r="J12" s="13" t="str">
        <f>Projects!J11</f>
        <v>New Capacity (MVA)</v>
      </c>
      <c r="K12" s="11" t="s">
        <v>21</v>
      </c>
      <c r="L12" s="11" t="s">
        <v>22</v>
      </c>
      <c r="M12" s="11" t="s">
        <v>24</v>
      </c>
      <c r="N12" s="11" t="s">
        <v>23</v>
      </c>
      <c r="O12" s="11" t="s">
        <v>25</v>
      </c>
      <c r="P12" s="11" t="s">
        <v>28</v>
      </c>
      <c r="Q12" s="11" t="s">
        <v>29</v>
      </c>
      <c r="R12" s="11" t="s">
        <v>30</v>
      </c>
      <c r="S12" s="11" t="s">
        <v>31</v>
      </c>
      <c r="T12" s="11" t="s">
        <v>33</v>
      </c>
      <c r="U12" s="11" t="s">
        <v>32</v>
      </c>
      <c r="V12" s="11" t="s">
        <v>34</v>
      </c>
      <c r="W12" s="11" t="s">
        <v>35</v>
      </c>
      <c r="X12" s="11" t="s">
        <v>42</v>
      </c>
    </row>
    <row r="13" spans="2:25" x14ac:dyDescent="0.35">
      <c r="B13" s="14" t="str">
        <f>Projects!B12</f>
        <v>Recon 1 - Increase Cap</v>
      </c>
      <c r="C13" s="15" t="str">
        <f>Projects!C12</f>
        <v>Capacity (load)</v>
      </c>
      <c r="D13" s="15">
        <f>Projects!D12</f>
        <v>75</v>
      </c>
      <c r="E13" s="15">
        <f>Projects!E12</f>
        <v>75</v>
      </c>
      <c r="F13" s="19">
        <f>Projects!F12</f>
        <v>18750000</v>
      </c>
      <c r="G13" s="15">
        <f>Projects!G12</f>
        <v>30</v>
      </c>
      <c r="H13" s="15">
        <f>Projects!H12</f>
        <v>50</v>
      </c>
      <c r="I13" s="16">
        <f>Projects!I12</f>
        <v>2000</v>
      </c>
      <c r="J13" s="16">
        <f>Projects!J12</f>
        <v>2500</v>
      </c>
      <c r="K13" s="4">
        <f>+J13-I13</f>
        <v>500</v>
      </c>
      <c r="L13" s="2">
        <f>+H13-50</f>
        <v>0</v>
      </c>
      <c r="M13" s="7">
        <f>+(H13-G13)*K13</f>
        <v>10000</v>
      </c>
      <c r="N13" s="7">
        <f>+(50-G13)*I13</f>
        <v>40000</v>
      </c>
      <c r="O13" s="7">
        <f>+L13*I13</f>
        <v>0</v>
      </c>
      <c r="P13" s="7">
        <f>+$F13*M13/($M13+$O13)</f>
        <v>18750000</v>
      </c>
      <c r="Q13" s="7">
        <f>+$F13*O13/($M13+$O13)</f>
        <v>0</v>
      </c>
      <c r="R13" s="8">
        <f>IFERROR(+P13/(K13*E13),0)</f>
        <v>500</v>
      </c>
      <c r="S13">
        <f>+Q13/(E13*I13)</f>
        <v>0</v>
      </c>
      <c r="T13" s="5">
        <f>WACC/(1-(1+WACC)^-(H13-G13))*R13</f>
        <v>41.839665017466608</v>
      </c>
      <c r="U13" s="3">
        <f>+$H$31</f>
        <v>13.25012504255562</v>
      </c>
      <c r="V13" s="3">
        <f>IFERROR(WACC/(1-(1+WACC)^-(L13))*S13,0)</f>
        <v>0</v>
      </c>
      <c r="W13" s="3">
        <f>SUMPRODUCT(M13:O13,T13:V13)/SUM(M13:O13)</f>
        <v>18.968033037537818</v>
      </c>
      <c r="X13" s="3">
        <f>(M13*T13+O13*V13)/(M13+O13)</f>
        <v>41.839665017466608</v>
      </c>
      <c r="Y13" s="9"/>
    </row>
    <row r="14" spans="2:25" x14ac:dyDescent="0.35">
      <c r="B14" s="14" t="str">
        <f>Projects!B13</f>
        <v>Recon 2 - Life Extension</v>
      </c>
      <c r="C14" s="15" t="str">
        <f>Projects!C13</f>
        <v>Life (non-load)</v>
      </c>
      <c r="D14" s="15">
        <f>Projects!D13</f>
        <v>50</v>
      </c>
      <c r="E14" s="15">
        <f>Projects!E13</f>
        <v>50</v>
      </c>
      <c r="F14" s="19">
        <f>Projects!F13</f>
        <v>7500000</v>
      </c>
      <c r="G14" s="15">
        <f>Projects!G13</f>
        <v>40</v>
      </c>
      <c r="H14" s="15">
        <f>Projects!H13</f>
        <v>70</v>
      </c>
      <c r="I14" s="16">
        <f>Projects!I13</f>
        <v>1750</v>
      </c>
      <c r="J14" s="16">
        <f>Projects!J13</f>
        <v>1750</v>
      </c>
      <c r="K14" s="4">
        <f>+J14-I14</f>
        <v>0</v>
      </c>
      <c r="L14" s="2">
        <f>+H14-50</f>
        <v>20</v>
      </c>
      <c r="M14" s="7">
        <f>+(H14-G14)*K14</f>
        <v>0</v>
      </c>
      <c r="N14" s="7">
        <f>+(50-G14)*I14</f>
        <v>17500</v>
      </c>
      <c r="O14" s="7">
        <f>+L14*I14</f>
        <v>35000</v>
      </c>
      <c r="P14" s="7">
        <f>+$F14*M14/($M14+$O14)</f>
        <v>0</v>
      </c>
      <c r="Q14" s="7">
        <f>+$F14*O14/($M14+$O14)</f>
        <v>7500000</v>
      </c>
      <c r="R14" s="8">
        <f>IFERROR(+P14/(K14*E14),0)</f>
        <v>0</v>
      </c>
      <c r="S14">
        <f>+Q14/(E14*I14)</f>
        <v>85.714285714285708</v>
      </c>
      <c r="T14" s="5">
        <f>WACC/(1-(1+WACC)^-(H14-G14))*R14</f>
        <v>0</v>
      </c>
      <c r="U14" s="3">
        <f>+$H$31</f>
        <v>13.25012504255562</v>
      </c>
      <c r="V14" s="3">
        <f>IFERROR(WACC/(1-(1+WACC)^-(L14))*S14,0)</f>
        <v>7.1725140029942756</v>
      </c>
      <c r="W14" s="3">
        <f>SUMPRODUCT(M14:O14,T14:V14)/SUM(M14:O14)</f>
        <v>9.1983843495147237</v>
      </c>
      <c r="X14" s="3">
        <f t="shared" ref="X14:X15" si="0">(M14*T14+O14*V14)/(M14+O14)</f>
        <v>7.1725140029942756</v>
      </c>
      <c r="Y14" s="9"/>
    </row>
    <row r="15" spans="2:25" x14ac:dyDescent="0.35">
      <c r="B15" s="14" t="str">
        <f>Projects!B14</f>
        <v>Recon 3 - Cap &amp; Life Increase</v>
      </c>
      <c r="C15" s="15" t="str">
        <f>Projects!C14</f>
        <v>Life (non-load)</v>
      </c>
      <c r="D15" s="15">
        <f>Projects!D14</f>
        <v>350</v>
      </c>
      <c r="E15" s="15">
        <f>Projects!E14</f>
        <v>350</v>
      </c>
      <c r="F15" s="19">
        <f>Projects!F14</f>
        <v>61250000</v>
      </c>
      <c r="G15" s="15">
        <f>Projects!G14</f>
        <v>45</v>
      </c>
      <c r="H15" s="15">
        <f>Projects!H14</f>
        <v>70</v>
      </c>
      <c r="I15" s="16">
        <f>Projects!I14</f>
        <v>2750</v>
      </c>
      <c r="J15" s="16">
        <f>Projects!J14</f>
        <v>3150</v>
      </c>
      <c r="K15" s="4">
        <f>+J15-I15</f>
        <v>400</v>
      </c>
      <c r="L15" s="2">
        <f>+H15-50</f>
        <v>20</v>
      </c>
      <c r="M15" s="7">
        <f>+(H15-G15)*K15</f>
        <v>10000</v>
      </c>
      <c r="N15" s="7">
        <f>+(50-G15)*I15</f>
        <v>13750</v>
      </c>
      <c r="O15" s="7">
        <f>+L15*I15</f>
        <v>55000</v>
      </c>
      <c r="P15" s="7">
        <f>+$F15*M15/($M15+$O15)</f>
        <v>9423076.9230769239</v>
      </c>
      <c r="Q15" s="7">
        <f>+$F15*O15/($M15+$O15)</f>
        <v>51826923.07692308</v>
      </c>
      <c r="R15" s="8">
        <f>IFERROR(+P15/(K15*E15),0)</f>
        <v>67.307692307692321</v>
      </c>
      <c r="S15">
        <f>+Q15/(E15*I15)</f>
        <v>53.846153846153847</v>
      </c>
      <c r="T15" s="5">
        <f>WACC/(1-(1+WACC)^-(H15-G15))*R15</f>
        <v>5.0177449098564404</v>
      </c>
      <c r="U15" s="3">
        <f>+$H$31</f>
        <v>13.25012504255562</v>
      </c>
      <c r="V15" s="3">
        <f>IFERROR(WACC/(1-(1+WACC)^-(L15))*S15,0)</f>
        <v>4.5058100788040969</v>
      </c>
      <c r="W15" s="3">
        <f>SUMPRODUCT(M15:O15,T15:V15)/SUM(M15:O15)</f>
        <v>6.0976028287991051</v>
      </c>
      <c r="X15" s="3">
        <f t="shared" si="0"/>
        <v>4.5845692835813807</v>
      </c>
      <c r="Y15" s="9"/>
    </row>
    <row r="16" spans="2:25" x14ac:dyDescent="0.35">
      <c r="B16" s="14" t="str">
        <f>Projects!B15</f>
        <v>Recon 4 - Cap &amp; Life Increase</v>
      </c>
      <c r="C16" s="15" t="str">
        <f>Projects!C15</f>
        <v>Capacity (load)</v>
      </c>
      <c r="D16" s="15">
        <f>Projects!D15</f>
        <v>100</v>
      </c>
      <c r="E16" s="15">
        <f>Projects!E15</f>
        <v>100</v>
      </c>
      <c r="F16" s="19">
        <f>Projects!F15</f>
        <v>26500000</v>
      </c>
      <c r="G16" s="15">
        <f>Projects!G15</f>
        <v>40</v>
      </c>
      <c r="H16" s="15">
        <f>Projects!H15</f>
        <v>70</v>
      </c>
      <c r="I16" s="16">
        <f>Projects!I15</f>
        <v>1500</v>
      </c>
      <c r="J16" s="16">
        <f>Projects!J15</f>
        <v>2800</v>
      </c>
      <c r="K16" s="4">
        <f t="shared" ref="K16:K17" si="1">+J16-I16</f>
        <v>1300</v>
      </c>
      <c r="L16" s="2">
        <f t="shared" ref="L16:L17" si="2">+H16-50</f>
        <v>20</v>
      </c>
      <c r="M16" s="7">
        <f t="shared" ref="M16:M17" si="3">+(H16-G16)*K16</f>
        <v>39000</v>
      </c>
      <c r="N16" s="7">
        <f t="shared" ref="N16:N17" si="4">+(50-G16)*I16</f>
        <v>15000</v>
      </c>
      <c r="O16" s="7">
        <f t="shared" ref="O16:O17" si="5">+L16*I16</f>
        <v>30000</v>
      </c>
      <c r="P16" s="7">
        <f t="shared" ref="P16:P17" si="6">+$F16*M16/($M16+$O16)</f>
        <v>14978260.869565217</v>
      </c>
      <c r="Q16" s="7">
        <f t="shared" ref="Q16:Q17" si="7">+$F16*O16/($M16+$O16)</f>
        <v>11521739.130434783</v>
      </c>
      <c r="R16" s="8">
        <f t="shared" ref="R16:R17" si="8">IFERROR(+P16/(K16*E16),0)</f>
        <v>115.21739130434783</v>
      </c>
      <c r="S16">
        <f t="shared" ref="S16:S17" si="9">+Q16/(E16*I16)</f>
        <v>76.811594202898561</v>
      </c>
      <c r="T16" s="5">
        <f>WACC/(1-(1+WACC)^-(H16-G16))*R16</f>
        <v>7.9275775065383645</v>
      </c>
      <c r="U16" s="3">
        <f>+$H$31</f>
        <v>13.25012504255562</v>
      </c>
      <c r="V16" s="3">
        <f>IFERROR(WACC/(1-(1+WACC)^-(L16))*S16,0)</f>
        <v>6.4275427418137117</v>
      </c>
      <c r="W16" s="3">
        <f t="shared" ref="W16:W17" si="10">SUMPRODUCT(M16:O16,T16:V16)/SUM(M16:O16)</f>
        <v>8.3423057219969277</v>
      </c>
      <c r="X16" s="3">
        <f t="shared" ref="X16:X17" si="11">(M16*T16+O16*V16)/(M16+O16)</f>
        <v>7.2753884783972111</v>
      </c>
    </row>
    <row r="17" spans="2:24" x14ac:dyDescent="0.35">
      <c r="B17" s="14" t="str">
        <f>Projects!B16</f>
        <v>Recon 5 - route change</v>
      </c>
      <c r="C17" s="15" t="str">
        <f>Projects!C16</f>
        <v>Rerouting (load)</v>
      </c>
      <c r="D17" s="15">
        <f>Projects!D16</f>
        <v>25</v>
      </c>
      <c r="E17" s="15">
        <f>Projects!E16</f>
        <v>30</v>
      </c>
      <c r="F17" s="19">
        <f>Projects!F16</f>
        <v>2550000</v>
      </c>
      <c r="G17" s="15">
        <f>Projects!G16</f>
        <v>20</v>
      </c>
      <c r="H17" s="15">
        <f>Projects!H16</f>
        <v>50</v>
      </c>
      <c r="I17" s="16">
        <f>Projects!I16</f>
        <v>2000</v>
      </c>
      <c r="J17" s="16">
        <f>Projects!J16</f>
        <v>2000</v>
      </c>
      <c r="K17" s="4">
        <f t="shared" si="1"/>
        <v>0</v>
      </c>
      <c r="L17" s="2">
        <f t="shared" si="2"/>
        <v>0</v>
      </c>
      <c r="M17" s="7">
        <f t="shared" si="3"/>
        <v>0</v>
      </c>
      <c r="N17" s="7">
        <f t="shared" si="4"/>
        <v>60000</v>
      </c>
      <c r="O17" s="7">
        <f t="shared" si="5"/>
        <v>0</v>
      </c>
      <c r="P17" s="7" t="e">
        <f t="shared" si="6"/>
        <v>#DIV/0!</v>
      </c>
      <c r="Q17" s="7" t="e">
        <f t="shared" si="7"/>
        <v>#DIV/0!</v>
      </c>
      <c r="R17" s="8">
        <f t="shared" si="8"/>
        <v>0</v>
      </c>
      <c r="S17" t="e">
        <f t="shared" si="9"/>
        <v>#DIV/0!</v>
      </c>
      <c r="T17" s="5">
        <f>WACC/(1-(1+WACC)^-(H17-G17))*R17</f>
        <v>0</v>
      </c>
      <c r="U17" s="3">
        <f>+$H$31</f>
        <v>13.25012504255562</v>
      </c>
      <c r="V17" s="3">
        <f>IFERROR(WACC/(1-(1+WACC)^-(L17))*S17,0)</f>
        <v>0</v>
      </c>
      <c r="W17" s="3">
        <f t="shared" si="10"/>
        <v>13.25012504255562</v>
      </c>
      <c r="X17" s="3" t="e">
        <f t="shared" si="11"/>
        <v>#DIV/0!</v>
      </c>
    </row>
    <row r="20" spans="2:24" x14ac:dyDescent="0.35">
      <c r="B20" s="13" t="str">
        <f>Projects!B19</f>
        <v>Non-circuit</v>
      </c>
      <c r="C20" s="13"/>
      <c r="D20" s="14"/>
      <c r="E20" s="14"/>
      <c r="F20" s="18"/>
      <c r="G20" s="14"/>
      <c r="H20" s="14"/>
      <c r="I20" s="14"/>
      <c r="J20" s="14"/>
    </row>
    <row r="21" spans="2:24" ht="58" x14ac:dyDescent="0.35">
      <c r="B21" s="14"/>
      <c r="C21" s="13" t="str">
        <f>Projects!C20</f>
        <v>Primary Driver</v>
      </c>
      <c r="D21" s="13" t="str">
        <f>Projects!D20</f>
        <v>Initial Length (km)</v>
      </c>
      <c r="E21" s="13" t="str">
        <f>Projects!E20</f>
        <v>New Length (km)</v>
      </c>
      <c r="F21" s="26" t="str">
        <f>Projects!F20</f>
        <v>Capital Cost (£)</v>
      </c>
      <c r="G21" s="13" t="str">
        <f>Projects!G20</f>
        <v>Time from initial build (years)</v>
      </c>
      <c r="H21" s="13" t="str">
        <f>Projects!H20</f>
        <v>New life (years)</v>
      </c>
      <c r="I21" s="13" t="str">
        <f>Projects!I20</f>
        <v>Initial Capacity (MVA)</v>
      </c>
      <c r="J21" s="13" t="str">
        <f>Projects!J20</f>
        <v>New Capacity (MVA)</v>
      </c>
      <c r="K21" s="11" t="s">
        <v>21</v>
      </c>
      <c r="L21" s="11" t="s">
        <v>22</v>
      </c>
      <c r="M21" s="11" t="s">
        <v>24</v>
      </c>
      <c r="N21" s="11" t="s">
        <v>23</v>
      </c>
      <c r="O21" s="11" t="s">
        <v>25</v>
      </c>
      <c r="P21" s="11" t="s">
        <v>28</v>
      </c>
      <c r="Q21" s="11" t="s">
        <v>29</v>
      </c>
      <c r="R21" s="11" t="s">
        <v>30</v>
      </c>
      <c r="S21" s="11" t="s">
        <v>31</v>
      </c>
      <c r="T21" s="11" t="s">
        <v>33</v>
      </c>
      <c r="U21" s="11" t="s">
        <v>32</v>
      </c>
      <c r="V21" s="11" t="s">
        <v>34</v>
      </c>
      <c r="W21" s="11" t="s">
        <v>35</v>
      </c>
      <c r="X21" s="11" t="s">
        <v>42</v>
      </c>
    </row>
    <row r="22" spans="2:24" x14ac:dyDescent="0.35">
      <c r="B22" s="14" t="str">
        <f>Projects!B21</f>
        <v>Sub 1 - Increase Cap</v>
      </c>
      <c r="C22" s="15" t="str">
        <f>Projects!C21</f>
        <v>Capacity (load)</v>
      </c>
      <c r="D22" s="15">
        <f>Projects!D21</f>
        <v>1</v>
      </c>
      <c r="E22" s="15">
        <f>Projects!E21</f>
        <v>1</v>
      </c>
      <c r="F22" s="19">
        <f>Projects!F21</f>
        <v>500000</v>
      </c>
      <c r="G22" s="15">
        <f>Projects!G21</f>
        <v>30</v>
      </c>
      <c r="H22" s="15">
        <f>Projects!H21</f>
        <v>50</v>
      </c>
      <c r="I22" s="16">
        <f>Projects!I21</f>
        <v>2000</v>
      </c>
      <c r="J22" s="16">
        <f>Projects!J21</f>
        <v>2100</v>
      </c>
      <c r="K22" s="4">
        <f>+J22-I22</f>
        <v>100</v>
      </c>
      <c r="L22" s="2">
        <f>+H22-50</f>
        <v>0</v>
      </c>
      <c r="M22" s="7">
        <f>+(H22-G22)*K22</f>
        <v>2000</v>
      </c>
      <c r="N22" s="7">
        <f>+(50-G22)*I22</f>
        <v>40000</v>
      </c>
      <c r="O22" s="7">
        <f>+L22*I22</f>
        <v>0</v>
      </c>
      <c r="P22" s="7">
        <f>+$F22*M22/($M22+$O22)</f>
        <v>500000</v>
      </c>
      <c r="Q22" s="7">
        <f>+$F22*O22/($M22+$O22)</f>
        <v>0</v>
      </c>
      <c r="R22" s="8">
        <f>IFERROR(+P22/(K22*E22),0)</f>
        <v>5000</v>
      </c>
      <c r="S22">
        <f>+Q22/(E22*I22)</f>
        <v>0</v>
      </c>
      <c r="T22" s="5">
        <f>WACC/(1-(1+WACC)^-(H22-G22))*R22</f>
        <v>418.39665017466609</v>
      </c>
      <c r="U22" s="3">
        <f>+$H$31</f>
        <v>13.25012504255562</v>
      </c>
      <c r="V22" s="3">
        <f>IFERROR(WACC/(1-(1+WACC)^-(L22))*S22,0)</f>
        <v>0</v>
      </c>
      <c r="W22" s="3">
        <f>SUMPRODUCT(M22:O22,T22:V22)/SUM(M22:O22)</f>
        <v>32.542816715513261</v>
      </c>
      <c r="X22" s="3">
        <f>(M22*T22+O22*V22)/(M22+O22)</f>
        <v>418.39665017466609</v>
      </c>
    </row>
    <row r="23" spans="2:24" x14ac:dyDescent="0.35">
      <c r="B23" s="14" t="str">
        <f>Projects!B22</f>
        <v>Sub 2 - Life Extension</v>
      </c>
      <c r="C23" s="15" t="str">
        <f>Projects!C22</f>
        <v>Life (non-load)</v>
      </c>
      <c r="D23" s="15">
        <f>Projects!D22</f>
        <v>1</v>
      </c>
      <c r="E23" s="15">
        <f>Projects!E22</f>
        <v>1</v>
      </c>
      <c r="F23" s="19">
        <f>Projects!F22</f>
        <v>1000000</v>
      </c>
      <c r="G23" s="15">
        <f>Projects!G22</f>
        <v>40</v>
      </c>
      <c r="H23" s="15">
        <f>Projects!H22</f>
        <v>70</v>
      </c>
      <c r="I23" s="16">
        <f>Projects!I22</f>
        <v>1750</v>
      </c>
      <c r="J23" s="16">
        <f>Projects!J22</f>
        <v>1750</v>
      </c>
      <c r="K23" s="4">
        <f>+J23-I23</f>
        <v>0</v>
      </c>
      <c r="L23" s="2">
        <f>+H23-50</f>
        <v>20</v>
      </c>
      <c r="M23" s="7">
        <f>+(H23-G23)*K23</f>
        <v>0</v>
      </c>
      <c r="N23" s="7">
        <f>+(50-G23)*I23</f>
        <v>17500</v>
      </c>
      <c r="O23" s="7">
        <f>+L23*I23</f>
        <v>35000</v>
      </c>
      <c r="P23" s="7">
        <f>+$F23*M23/($M23+$O23)</f>
        <v>0</v>
      </c>
      <c r="Q23" s="7">
        <f>+$F23*O23/($M23+$O23)</f>
        <v>1000000</v>
      </c>
      <c r="R23" s="8">
        <f>IFERROR(+P23/(K23*E23),0)</f>
        <v>0</v>
      </c>
      <c r="S23">
        <f>+Q23/(E23*I23)</f>
        <v>571.42857142857144</v>
      </c>
      <c r="T23" s="5">
        <f>WACC/(1-(1+WACC)^-(H23-G23))*R23</f>
        <v>0</v>
      </c>
      <c r="U23" s="3">
        <f>+$H$31</f>
        <v>13.25012504255562</v>
      </c>
      <c r="V23" s="3">
        <f>IFERROR(WACC/(1-(1+WACC)^-(L23))*S23,0)</f>
        <v>47.816760019961841</v>
      </c>
      <c r="W23" s="3">
        <f>SUMPRODUCT(M23:O23,T23:V23)/SUM(M23:O23)</f>
        <v>36.294548360826433</v>
      </c>
      <c r="X23" s="3">
        <f t="shared" ref="X23:X26" si="12">(M23*T23+O23*V23)/(M23+O23)</f>
        <v>47.816760019961841</v>
      </c>
    </row>
    <row r="24" spans="2:24" x14ac:dyDescent="0.35">
      <c r="B24" s="14" t="str">
        <f>Projects!B23</f>
        <v>Sub 3 - Cap &amp; Life Increase</v>
      </c>
      <c r="C24" s="15" t="str">
        <f>Projects!C23</f>
        <v>Life (non-load)</v>
      </c>
      <c r="D24" s="15">
        <f>Projects!D23</f>
        <v>1</v>
      </c>
      <c r="E24" s="15">
        <f>Projects!E23</f>
        <v>1</v>
      </c>
      <c r="F24" s="19">
        <f>Projects!F23</f>
        <v>2000000</v>
      </c>
      <c r="G24" s="15">
        <f>Projects!G23</f>
        <v>45</v>
      </c>
      <c r="H24" s="15">
        <f>Projects!H23</f>
        <v>70</v>
      </c>
      <c r="I24" s="16">
        <f>Projects!I23</f>
        <v>900</v>
      </c>
      <c r="J24" s="16">
        <f>Projects!J23</f>
        <v>1500</v>
      </c>
      <c r="K24" s="4">
        <f>+J24-I24</f>
        <v>600</v>
      </c>
      <c r="L24" s="2">
        <f>+H24-50</f>
        <v>20</v>
      </c>
      <c r="M24" s="7">
        <f>+(H24-G24)*K24</f>
        <v>15000</v>
      </c>
      <c r="N24" s="7">
        <f>+(50-G24)*I24</f>
        <v>4500</v>
      </c>
      <c r="O24" s="7">
        <f>+L24*I24</f>
        <v>18000</v>
      </c>
      <c r="P24" s="7">
        <f>+$F24*M24/($M24+$O24)</f>
        <v>909090.90909090906</v>
      </c>
      <c r="Q24" s="7">
        <f>+$F24*O24/($M24+$O24)</f>
        <v>1090909.0909090908</v>
      </c>
      <c r="R24" s="8">
        <f>IFERROR(+P24/(K24*E24),0)</f>
        <v>1515.151515151515</v>
      </c>
      <c r="S24">
        <f>+Q24/(E24*I24)</f>
        <v>1212.121212121212</v>
      </c>
      <c r="T24" s="5">
        <f>WACC/(1-(1+WACC)^-(H24-G24))*R24</f>
        <v>112.95356507036139</v>
      </c>
      <c r="U24" s="3">
        <f>+$H$31</f>
        <v>13.25012504255562</v>
      </c>
      <c r="V24" s="3">
        <f>IFERROR(WACC/(1-(1+WACC)^-(L24))*S24,0)</f>
        <v>101.42949095143419</v>
      </c>
      <c r="W24" s="3">
        <f>SUMPRODUCT(M24:O24,T24:V24)/SUM(M24:O24)</f>
        <v>95.457596689939649</v>
      </c>
      <c r="X24" s="3">
        <f t="shared" si="12"/>
        <v>106.66770646003746</v>
      </c>
    </row>
    <row r="25" spans="2:24" x14ac:dyDescent="0.35">
      <c r="B25" s="14" t="str">
        <f>Projects!B24</f>
        <v>Sub 4 - Cap &amp; Life Increase</v>
      </c>
      <c r="C25" s="15" t="str">
        <f>Projects!C24</f>
        <v>Capacity (load)</v>
      </c>
      <c r="D25" s="15">
        <f>Projects!D24</f>
        <v>1</v>
      </c>
      <c r="E25" s="15">
        <f>Projects!E24</f>
        <v>1</v>
      </c>
      <c r="F25" s="19">
        <f>Projects!F24</f>
        <v>10500000</v>
      </c>
      <c r="G25" s="15">
        <f>Projects!G24</f>
        <v>40</v>
      </c>
      <c r="H25" s="15">
        <f>Projects!H24</f>
        <v>80</v>
      </c>
      <c r="I25" s="16">
        <f>Projects!I24</f>
        <v>1000</v>
      </c>
      <c r="J25" s="16">
        <f>Projects!J24</f>
        <v>2200</v>
      </c>
      <c r="K25" s="4">
        <f t="shared" ref="K25:K26" si="13">+J25-I25</f>
        <v>1200</v>
      </c>
      <c r="L25" s="2">
        <f t="shared" ref="L25:L26" si="14">+H25-50</f>
        <v>30</v>
      </c>
      <c r="M25" s="7">
        <f t="shared" ref="M25:M26" si="15">+(H25-G25)*K25</f>
        <v>48000</v>
      </c>
      <c r="N25" s="7">
        <f t="shared" ref="N25:N26" si="16">+(50-G25)*I25</f>
        <v>10000</v>
      </c>
      <c r="O25" s="7">
        <f t="shared" ref="O25:O26" si="17">+L25*I25</f>
        <v>30000</v>
      </c>
      <c r="P25" s="7">
        <f t="shared" ref="P25:P26" si="18">+$F25*M25/($M25+$O25)</f>
        <v>6461538.461538462</v>
      </c>
      <c r="Q25" s="7">
        <f t="shared" ref="Q25:Q26" si="19">+$F25*O25/($M25+$O25)</f>
        <v>4038461.5384615385</v>
      </c>
      <c r="R25" s="8">
        <f t="shared" ref="R25:R26" si="20">IFERROR(+P25/(K25*E25),0)</f>
        <v>5384.6153846153848</v>
      </c>
      <c r="S25">
        <f t="shared" ref="S25:S26" si="21">+Q25/(E25*I25)</f>
        <v>4038.4615384615386</v>
      </c>
      <c r="T25" s="5">
        <f>WACC/(1-(1+WACC)^-(H25-G25))*R25</f>
        <v>335.5710796342043</v>
      </c>
      <c r="U25" s="3">
        <f>+$H$31</f>
        <v>13.25012504255562</v>
      </c>
      <c r="V25" s="3">
        <f>IFERROR(WACC/(1-(1+WACC)^-(L25))*S25,0)</f>
        <v>277.86791985907331</v>
      </c>
      <c r="W25" s="3">
        <f t="shared" ref="W25:W26" si="22">SUMPRODUCT(M25:O25,T25:V25)/SUM(M25:O25)</f>
        <v>279.27216668908596</v>
      </c>
      <c r="X25" s="3">
        <f t="shared" si="12"/>
        <v>313.37755664376931</v>
      </c>
    </row>
    <row r="26" spans="2:24" x14ac:dyDescent="0.35">
      <c r="B26" s="14" t="str">
        <f>Projects!B25</f>
        <v>Sub 5 - New Build</v>
      </c>
      <c r="C26" s="15" t="str">
        <f>Projects!C25</f>
        <v>Capacity (load)</v>
      </c>
      <c r="D26" s="15">
        <f>Projects!D25</f>
        <v>1</v>
      </c>
      <c r="E26" s="15">
        <f>Projects!E25</f>
        <v>1</v>
      </c>
      <c r="F26" s="19">
        <f>Projects!F25</f>
        <v>30000000</v>
      </c>
      <c r="G26" s="15">
        <f>Projects!G25</f>
        <v>0</v>
      </c>
      <c r="H26" s="15">
        <f>Projects!H25</f>
        <v>50</v>
      </c>
      <c r="I26" s="16">
        <f>Projects!I25</f>
        <v>0</v>
      </c>
      <c r="J26" s="16">
        <f>Projects!J25</f>
        <v>2200</v>
      </c>
      <c r="K26" s="4">
        <f t="shared" si="13"/>
        <v>2200</v>
      </c>
      <c r="L26" s="2">
        <f t="shared" si="14"/>
        <v>0</v>
      </c>
      <c r="M26" s="7">
        <f t="shared" si="15"/>
        <v>110000</v>
      </c>
      <c r="N26" s="7">
        <f t="shared" si="16"/>
        <v>0</v>
      </c>
      <c r="O26" s="7">
        <f t="shared" si="17"/>
        <v>0</v>
      </c>
      <c r="P26" s="7">
        <f t="shared" si="18"/>
        <v>30000000</v>
      </c>
      <c r="Q26" s="7">
        <f t="shared" si="19"/>
        <v>0</v>
      </c>
      <c r="R26" s="8">
        <f t="shared" si="20"/>
        <v>13636.363636363636</v>
      </c>
      <c r="S26" t="e">
        <f t="shared" si="21"/>
        <v>#DIV/0!</v>
      </c>
      <c r="T26" s="5">
        <f>WACC/(1-(1+WACC)^-(H26-G26))*R26</f>
        <v>805.3834107684221</v>
      </c>
      <c r="U26" s="3">
        <f>+$H$31</f>
        <v>13.25012504255562</v>
      </c>
      <c r="V26" s="3">
        <f>IFERROR(WACC/(1-(1+WACC)^-(L26))*S26,0)</f>
        <v>0</v>
      </c>
      <c r="W26" s="3">
        <f t="shared" si="22"/>
        <v>805.3834107684221</v>
      </c>
      <c r="X26" s="3">
        <f t="shared" si="12"/>
        <v>805.3834107684221</v>
      </c>
    </row>
    <row r="31" spans="2:24" x14ac:dyDescent="0.35">
      <c r="B31" s="27" t="s">
        <v>71</v>
      </c>
      <c r="C31" s="28" t="s">
        <v>91</v>
      </c>
      <c r="D31" s="29"/>
      <c r="G31" t="s">
        <v>27</v>
      </c>
      <c r="H31">
        <f>SUMPRODUCT(E5:E8,O5:O8)/SUM(E5:E8)</f>
        <v>13.25012504255562</v>
      </c>
      <c r="M31" s="12" t="s">
        <v>38</v>
      </c>
    </row>
    <row r="32" spans="2:24" x14ac:dyDescent="0.35">
      <c r="B32" s="22" t="s">
        <v>79</v>
      </c>
      <c r="C32" s="25" t="s">
        <v>72</v>
      </c>
      <c r="D32" s="30" t="s">
        <v>97</v>
      </c>
    </row>
    <row r="33" spans="2:9" x14ac:dyDescent="0.35">
      <c r="B33" s="22" t="s">
        <v>73</v>
      </c>
      <c r="C33" s="25" t="s">
        <v>85</v>
      </c>
      <c r="D33" s="23">
        <f>(SUMPRODUCT(O5:O8, E5:E8)) / SUM(E5:E8)</f>
        <v>13.25012504255562</v>
      </c>
    </row>
    <row r="34" spans="2:9" x14ac:dyDescent="0.35">
      <c r="B34" s="24" t="s">
        <v>75</v>
      </c>
      <c r="C34" s="23" t="s">
        <v>87</v>
      </c>
      <c r="D34" s="31">
        <f>(SUMPRODUCT(O5:O8, E5:E8) +SUMPRODUCT(W13,E13)+SUMPRODUCT(W16:W17,E16:E17)) / SUM(E5:E8, E13,E16:E17)</f>
        <v>13.059544019687298</v>
      </c>
      <c r="G34" t="s">
        <v>36</v>
      </c>
      <c r="H34" t="s">
        <v>19</v>
      </c>
      <c r="I34" s="9">
        <f>(SUMPRODUCT(O5:O8,L5:L8)+SUMPRODUCT(M13:O13,T13:V13))/(SUM(L5:L8)+SUM(M13:O13))</f>
        <v>13.806175315684964</v>
      </c>
    </row>
    <row r="35" spans="2:9" x14ac:dyDescent="0.35">
      <c r="B35" s="24" t="s">
        <v>76</v>
      </c>
      <c r="C35" s="23" t="s">
        <v>88</v>
      </c>
      <c r="D35" s="23">
        <f>(SUMPRODUCT(O5:O8, E5:E8) +SUMPRODUCT(W14:W15,E14:E15)) / SUM(E5:E8, E14:E15)</f>
        <v>8.0463369474271111</v>
      </c>
      <c r="G35" t="s">
        <v>37</v>
      </c>
      <c r="H35" t="s">
        <v>19</v>
      </c>
      <c r="I35" s="3">
        <f>(SUMPRODUCT(E5:E8,O5:O8)+SUMPRODUCT(E13:E15,W13:W15))/SUM(E5:E8,E13:E15)</f>
        <v>9.4230213285335012</v>
      </c>
    </row>
    <row r="36" spans="2:9" x14ac:dyDescent="0.35">
      <c r="B36" s="24" t="s">
        <v>77</v>
      </c>
      <c r="C36" s="23" t="s">
        <v>89</v>
      </c>
      <c r="D36" s="23">
        <f>(SUMPRODUCT(O5:O8, E5:E8) +SUMPRODUCT(W26,E26)) / SUM(E5:E8, E26)</f>
        <v>19.796681122934682</v>
      </c>
      <c r="G36" t="s">
        <v>41</v>
      </c>
      <c r="H36" t="s">
        <v>19</v>
      </c>
      <c r="I36" s="3">
        <f>(SUMPRODUCT(E5:E8,O5:O8)+SUMPRODUCT(E13:E15,X13:X15))/SUM(E5:E8,E13:E15)</f>
        <v>11.245739211461961</v>
      </c>
    </row>
    <row r="37" spans="2:9" x14ac:dyDescent="0.35">
      <c r="B37" s="24" t="s">
        <v>78</v>
      </c>
      <c r="C37" s="25" t="s">
        <v>90</v>
      </c>
      <c r="D37" s="23">
        <f>(SUMPRODUCT(O5:O8, E5:E8) +SUMPRODUCT(W13:W17,E13:E17)) / SUM(E5:E8, E13:E17)</f>
        <v>9.4323200192466121</v>
      </c>
      <c r="G37" t="s">
        <v>43</v>
      </c>
      <c r="H37" t="s">
        <v>19</v>
      </c>
      <c r="I37" s="3">
        <f>(SUMPRODUCT(E5:E8,J5:J8,O5:O8)+SUMPRODUCT(E13:E15,J13:J15,X13:X15))/(SUMPRODUCT(E5:E8,J5:J8)+SUMPRODUCT(E13:E15,J13:J15))</f>
        <v>10.500658619003016</v>
      </c>
    </row>
    <row r="38" spans="2:9" x14ac:dyDescent="0.35">
      <c r="B38" s="24" t="s">
        <v>96</v>
      </c>
      <c r="C38" s="25" t="s">
        <v>92</v>
      </c>
      <c r="D38" s="31">
        <f>(SUMPRODUCT(O5:O8, E5:E8) +SUMPRODUCT(W16:W17,E16:E17)+SUMPRODUCT(W25:W26,E25:E26)+SUMPRODUCT(W13,E13)+SUMPRODUCT(W22,E22)) / SUM(E5:E8, E16:E17,E25:E26,E13,E22)</f>
        <v>16.346189635888393</v>
      </c>
    </row>
    <row r="39" spans="2:9" x14ac:dyDescent="0.35">
      <c r="B39" s="24" t="s">
        <v>95</v>
      </c>
      <c r="C39" s="25" t="s">
        <v>93</v>
      </c>
      <c r="D39" s="23">
        <f>(SUMPRODUCT(O5:O8, E5:E8) +SUMPRODUCT(W14:W15,E14:E15)+SUMPRODUCT(W23:W24,E23:E24)) / SUM(E5:E8, E14:E15,E23:E24)</f>
        <v>8.2679068155418847</v>
      </c>
    </row>
    <row r="40" spans="2:9" x14ac:dyDescent="0.35">
      <c r="B40" s="24" t="s">
        <v>82</v>
      </c>
      <c r="C40" s="25" t="s">
        <v>94</v>
      </c>
      <c r="D40" s="31">
        <f>(SUMPRODUCT(O5:O8, E5:E8) +SUMPRODUCT(W13:W17,E13:E17)+SUMPRODUCT(W22:W26,E22:E26)) / SUM(E5:E8, E13:E17,E22:E26)</f>
        <v>11.078606237229565</v>
      </c>
    </row>
  </sheetData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41AF28-BEA9-436B-B873-23FB66DD2C6F}">
  <ds:schemaRefs>
    <ds:schemaRef ds:uri="http://schemas.microsoft.com/office/2006/metadata/properties"/>
    <ds:schemaRef ds:uri="http://schemas.microsoft.com/office/infopath/2007/PartnerControls"/>
    <ds:schemaRef ds:uri="ecbfe105-6ac8-456f-b862-d8441338110b"/>
    <ds:schemaRef ds:uri="a9c55b04-a7a9-4ad1-ae8c-22dbe19f9100"/>
    <ds:schemaRef ds:uri="c957d7ae-6b4c-4bec-912c-7fda720dd351"/>
  </ds:schemaRefs>
</ds:datastoreItem>
</file>

<file path=customXml/itemProps2.xml><?xml version="1.0" encoding="utf-8"?>
<ds:datastoreItem xmlns:ds="http://schemas.openxmlformats.org/officeDocument/2006/customXml" ds:itemID="{759A3011-A1FB-460E-B6CC-4C11E8AEF85C}"/>
</file>

<file path=customXml/itemProps3.xml><?xml version="1.0" encoding="utf-8"?>
<ds:datastoreItem xmlns:ds="http://schemas.openxmlformats.org/officeDocument/2006/customXml" ds:itemID="{3BC8DFA6-2E38-4FFF-9608-2A0DBBB61E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Projects</vt:lpstr>
      <vt:lpstr>EC Summary Table</vt:lpstr>
      <vt:lpstr>CMP315 - NS</vt:lpstr>
      <vt:lpstr>LCP</vt:lpstr>
      <vt:lpstr>CMP375 - GN</vt:lpstr>
      <vt:lpstr>PJ</vt:lpstr>
      <vt:lpstr>ANBC</vt:lpstr>
      <vt:lpstr>WACC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Sillito</dc:creator>
  <cp:lastModifiedBy>Mullen (ESO), Paul J</cp:lastModifiedBy>
  <dcterms:created xsi:type="dcterms:W3CDTF">2022-06-10T07:33:58Z</dcterms:created>
  <dcterms:modified xsi:type="dcterms:W3CDTF">2022-06-29T12:41:04Z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